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7400" windowHeight="6330" tabRatio="817" activeTab="3"/>
  </bookViews>
  <sheets>
    <sheet name="Регион ФФПП 2027" sheetId="115" r:id="rId1"/>
    <sheet name="ИНП2027" sheetId="61" r:id="rId2"/>
    <sheet name="ИБР2027" sheetId="94" r:id="rId3"/>
    <sheet name="Регион сбалансир 2027" sheetId="117" r:id="rId4"/>
  </sheets>
  <definedNames>
    <definedName name="_xlnm.Print_Titles" localSheetId="2">ИБР2027!$A:$B</definedName>
    <definedName name="_xlnm.Print_Titles" localSheetId="1">ИНП2027!$A:$B,ИНП2027!$3:$8</definedName>
    <definedName name="_xlnm.Print_Titles" localSheetId="3">'Регион сбалансир 2027'!$A:$B</definedName>
    <definedName name="_xlnm.Print_Titles" localSheetId="0">'Регион ФФПП 2027'!$A:$B</definedName>
    <definedName name="_xlnm.Print_Area" localSheetId="2">ИБР2027!$A$1:$AR$20</definedName>
    <definedName name="_xlnm.Print_Area" localSheetId="1">ИНП2027!$A$1:$U$16</definedName>
    <definedName name="_xlnm.Print_Area" localSheetId="3">'Регион сбалансир 2027'!$A$1:$O$24</definedName>
    <definedName name="_xlnm.Print_Area" localSheetId="0">'Регион ФФПП 2027'!$A$1:$O$23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O19" i="117" l="1"/>
  <c r="L18" i="115" l="1"/>
  <c r="L11" i="115"/>
  <c r="M14" i="117" l="1"/>
  <c r="L16" i="61" l="1"/>
  <c r="G10" i="61"/>
  <c r="G9" i="61" l="1"/>
  <c r="M15" i="117" l="1"/>
  <c r="M13" i="117"/>
  <c r="M16" i="117" l="1"/>
  <c r="M17" i="117"/>
  <c r="M18" i="117"/>
  <c r="M19" i="117"/>
  <c r="K24" i="117"/>
  <c r="J24" i="117"/>
  <c r="I24" i="117"/>
  <c r="H24" i="117"/>
  <c r="G24" i="117"/>
  <c r="E24" i="117"/>
  <c r="D24" i="117"/>
  <c r="C24" i="117"/>
  <c r="M23" i="117"/>
  <c r="F23" i="117"/>
  <c r="M22" i="117"/>
  <c r="F22" i="117"/>
  <c r="N22" i="117" s="1"/>
  <c r="M21" i="117"/>
  <c r="F21" i="117"/>
  <c r="M20" i="117"/>
  <c r="F20" i="117"/>
  <c r="N20" i="117" s="1"/>
  <c r="F19" i="117"/>
  <c r="F18" i="117"/>
  <c r="F17" i="117"/>
  <c r="F16" i="117"/>
  <c r="F15" i="117"/>
  <c r="F14" i="117"/>
  <c r="F13" i="117"/>
  <c r="O12" i="117"/>
  <c r="A2" i="117"/>
  <c r="N21" i="117" l="1"/>
  <c r="N23" i="117"/>
  <c r="N18" i="117"/>
  <c r="F24" i="117"/>
  <c r="N17" i="117"/>
  <c r="N16" i="117"/>
  <c r="N15" i="117"/>
  <c r="N19" i="117"/>
  <c r="M24" i="117"/>
  <c r="N14" i="117"/>
  <c r="N13" i="117"/>
  <c r="N24" i="117" l="1"/>
  <c r="O18" i="117" s="1"/>
  <c r="O21" i="117" l="1"/>
  <c r="O15" i="117"/>
  <c r="O23" i="117"/>
  <c r="O20" i="117"/>
  <c r="O17" i="117"/>
  <c r="O14" i="117"/>
  <c r="O22" i="117"/>
  <c r="O16" i="117"/>
  <c r="O13" i="117"/>
  <c r="O24" i="117" l="1"/>
  <c r="Q16" i="61" l="1"/>
  <c r="P16" i="61"/>
  <c r="C19" i="115" l="1"/>
  <c r="C20" i="115"/>
  <c r="C21" i="115"/>
  <c r="C22" i="115"/>
  <c r="C23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P3" i="94" s="1"/>
  <c r="T3" i="94" s="1"/>
  <c r="V3" i="94" s="1"/>
  <c r="X3" i="94" s="1"/>
  <c r="Z3" i="94" s="1"/>
  <c r="AB3" i="94" s="1"/>
  <c r="AE3" i="94" s="1"/>
  <c r="AF3" i="94" s="1"/>
  <c r="AI3" i="94" s="1"/>
  <c r="AL3" i="94" s="1"/>
  <c r="L20" i="94" l="1"/>
  <c r="S10" i="61" l="1"/>
  <c r="S11" i="61"/>
  <c r="S12" i="61"/>
  <c r="S13" i="61"/>
  <c r="S14" i="61"/>
  <c r="S15" i="61"/>
  <c r="S9" i="61"/>
  <c r="K10" i="61"/>
  <c r="K11" i="61"/>
  <c r="K12" i="61"/>
  <c r="K13" i="61"/>
  <c r="K14" i="61"/>
  <c r="K15" i="61"/>
  <c r="K9" i="61"/>
  <c r="I16" i="61" l="1"/>
  <c r="O9" i="61"/>
  <c r="AD9" i="94" l="1"/>
  <c r="AB9" i="94"/>
  <c r="X9" i="94"/>
  <c r="T9" i="94"/>
  <c r="R9" i="94"/>
  <c r="N9" i="94"/>
  <c r="Z9" i="94"/>
  <c r="V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AD12" i="94"/>
  <c r="AB12" i="94"/>
  <c r="X12" i="94"/>
  <c r="N12" i="94"/>
  <c r="Z12" i="94"/>
  <c r="V12" i="94"/>
  <c r="T12" i="94"/>
  <c r="R12" i="94"/>
  <c r="AD10" i="94"/>
  <c r="AB10" i="94"/>
  <c r="X10" i="94"/>
  <c r="N10" i="94"/>
  <c r="Z10" i="94"/>
  <c r="V10" i="94"/>
  <c r="T10" i="94"/>
  <c r="R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AD15" i="94"/>
  <c r="AB15" i="94"/>
  <c r="X15" i="94"/>
  <c r="R15" i="94"/>
  <c r="N15" i="94"/>
  <c r="Z13" i="94"/>
  <c r="V13" i="94"/>
  <c r="T13" i="94"/>
  <c r="AD13" i="94"/>
  <c r="AB13" i="94"/>
  <c r="X13" i="94"/>
  <c r="R13" i="94"/>
  <c r="N13" i="94"/>
  <c r="Z11" i="94"/>
  <c r="V11" i="94"/>
  <c r="T11" i="94"/>
  <c r="R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I15" i="94"/>
  <c r="E15" i="94"/>
  <c r="I14" i="94"/>
  <c r="E14" i="94"/>
  <c r="I13" i="94"/>
  <c r="E13" i="94"/>
  <c r="I12" i="94"/>
  <c r="E12" i="94"/>
  <c r="I11" i="94"/>
  <c r="E11" i="94"/>
  <c r="I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I9" i="94"/>
  <c r="AP9" i="94" s="1"/>
  <c r="AQ9" i="94" s="1"/>
  <c r="X51" i="94"/>
  <c r="S16" i="61"/>
  <c r="O10" i="61"/>
  <c r="O11" i="61"/>
  <c r="O12" i="61"/>
  <c r="O13" i="61"/>
  <c r="O14" i="61"/>
  <c r="O15" i="61"/>
  <c r="T9" i="61"/>
  <c r="F12" i="115" s="1"/>
  <c r="G11" i="61"/>
  <c r="G12" i="61"/>
  <c r="G13" i="61"/>
  <c r="G14" i="61"/>
  <c r="G15" i="61"/>
  <c r="C16" i="61"/>
  <c r="T14" i="61" l="1"/>
  <c r="F17" i="115" s="1"/>
  <c r="T12" i="61"/>
  <c r="F15" i="115" s="1"/>
  <c r="T10" i="61"/>
  <c r="F13" i="115" s="1"/>
  <c r="G20" i="94"/>
  <c r="I20" i="94"/>
  <c r="F19" i="115"/>
  <c r="F21" i="115"/>
  <c r="F22" i="115"/>
  <c r="F20" i="115"/>
  <c r="T15" i="61"/>
  <c r="F18" i="115" s="1"/>
  <c r="T13" i="61"/>
  <c r="F16" i="115" s="1"/>
  <c r="T11" i="61"/>
  <c r="F14" i="115" s="1"/>
  <c r="AQ19" i="94"/>
  <c r="AQ15" i="94"/>
  <c r="AQ20" i="94" s="1"/>
  <c r="AP20" i="94"/>
  <c r="AR9" i="94" s="1"/>
  <c r="E12" i="115" s="1"/>
  <c r="AQ17" i="94"/>
  <c r="O16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H19" i="115"/>
  <c r="H18" i="115"/>
  <c r="H15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16" i="61"/>
  <c r="H16" i="61"/>
  <c r="D16" i="61" l="1"/>
  <c r="G16" i="61"/>
  <c r="T16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D20" i="115"/>
  <c r="I20" i="115" s="1"/>
  <c r="D22" i="115"/>
  <c r="I22" i="115" s="1"/>
  <c r="U14" i="61"/>
  <c r="D17" i="115" s="1"/>
  <c r="I17" i="115" s="1"/>
  <c r="D19" i="115"/>
  <c r="I19" i="115" s="1"/>
  <c r="D21" i="115"/>
  <c r="I21" i="115" s="1"/>
  <c r="U9" i="61"/>
  <c r="D12" i="115" s="1"/>
  <c r="I12" i="115" s="1"/>
  <c r="U10" i="61"/>
  <c r="D13" i="115" s="1"/>
  <c r="I13" i="115" s="1"/>
  <c r="U16" i="61"/>
  <c r="D23" i="115" s="1"/>
  <c r="I23" i="115" l="1"/>
  <c r="J19" i="115"/>
  <c r="J18" i="115"/>
  <c r="J13" i="115"/>
  <c r="J17" i="115"/>
  <c r="J16" i="115"/>
  <c r="J22" i="115"/>
  <c r="J14" i="115"/>
  <c r="J12" i="115"/>
  <c r="J21" i="115"/>
  <c r="J20" i="115"/>
  <c r="J15" i="115"/>
  <c r="J23" i="115" l="1"/>
  <c r="K18" i="115" s="1"/>
  <c r="K15" i="115" l="1"/>
  <c r="K21" i="115"/>
  <c r="K12" i="115"/>
  <c r="K16" i="115"/>
  <c r="K20" i="115"/>
  <c r="K13" i="115"/>
  <c r="K17" i="115"/>
  <c r="K22" i="115"/>
  <c r="K19" i="115"/>
  <c r="K14" i="115"/>
  <c r="K23" i="115" l="1"/>
  <c r="L12" i="115" s="1"/>
  <c r="L17" i="115" l="1"/>
  <c r="N12" i="115"/>
  <c r="M12" i="115"/>
  <c r="L14" i="115"/>
  <c r="L16" i="115"/>
  <c r="L19" i="115"/>
  <c r="L22" i="115"/>
  <c r="L21" i="115"/>
  <c r="L15" i="115"/>
  <c r="L20" i="115"/>
  <c r="L13" i="115"/>
  <c r="L23" i="115" l="1"/>
  <c r="O12" i="115"/>
  <c r="N21" i="115"/>
  <c r="O21" i="115" s="1"/>
  <c r="M21" i="115"/>
  <c r="N18" i="115"/>
  <c r="O18" i="115" s="1"/>
  <c r="M18" i="115"/>
  <c r="N22" i="115"/>
  <c r="O22" i="115" s="1"/>
  <c r="M22" i="115"/>
  <c r="N14" i="115"/>
  <c r="O14" i="115" s="1"/>
  <c r="M14" i="115"/>
  <c r="N13" i="115"/>
  <c r="O13" i="115" s="1"/>
  <c r="M13" i="115"/>
  <c r="N17" i="115"/>
  <c r="O17" i="115" s="1"/>
  <c r="M17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<sst xmlns="http://schemas.openxmlformats.org/spreadsheetml/2006/main" count="325" uniqueCount="178">
  <si>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</si>
  <si>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</si>
  <si>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</si>
  <si>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</si>
  <si>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</si>
  <si>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</si>
  <si>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</si>
  <si>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</si>
  <si>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</si>
  <si>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</si>
  <si>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</si>
  <si>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</si>
  <si>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</si>
  <si>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</si>
  <si>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</si>
  <si>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</si>
  <si>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</si>
  <si>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</si>
  <si>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</si>
  <si>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</si>
  <si>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</si>
  <si>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</si>
  <si>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</si>
  <si>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</si>
  <si>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</si>
  <si>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</si>
  <si>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</si>
  <si>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</si>
  <si>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</si>
  <si>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</si>
  <si>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</si>
  <si>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</si>
  <si>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</si>
  <si>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</si>
  <si>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</si>
  <si>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</si>
  <si>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</si>
  <si>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</si>
  <si>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</si>
  <si>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</si>
  <si>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</si>
  <si>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</si>
  <si>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</si>
  <si>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</si>
  <si>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</si>
  <si>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</si>
  <si>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</si>
  <si>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</si>
  <si>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</si>
  <si>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</si>
  <si>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</si>
  <si>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</si>
  <si>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</si>
  <si>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</si>
  <si>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</si>
  <si>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</si>
  <si>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</si>
  <si>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</si>
  <si>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</si>
  <si>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</si>
  <si>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</si>
  <si>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</si>
  <si>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</si>
  <si>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</si>
  <si>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</si>
  <si>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</si>
  <si>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</si>
  <si>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</si>
  <si>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</si>
  <si>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</si>
  <si>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</si>
  <si>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</si>
  <si>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</si>
  <si>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</si>
  <si>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</si>
  <si>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</si>
  <si>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</si>
  <si>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</si>
  <si>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</si>
  <si>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</si>
  <si>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</si>
  <si>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</si>
  <si>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</si>
  <si>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</si>
  <si>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</si>
  <si>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</si>
  <si>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</si>
  <si>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</si>
  <si>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</si>
  <si>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</si>
  <si>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</si>
  <si>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</si>
  <si>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</si>
  <si>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</si>
  <si>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</si>
  <si>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</si>
  <si>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</si>
  <si>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</si>
  <si>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</si>
  <si>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</si>
  <si>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</si>
  <si>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</si>
  <si>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</si>
  <si>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</si>
  <si>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</si>
  <si>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</si>
  <si>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</si>
  <si>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</si>
  <si>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</si>
  <si>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</si>
  <si>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</si>
  <si>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</si>
  <si>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</si>
  <si>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</si>
  <si>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</si>
  <si>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</si>
  <si>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</si>
  <si>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</si>
  <si>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</si>
  <si>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</si>
  <si>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</si>
  <si>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</si>
  <si>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</si>
  <si>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</si>
  <si>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</si>
  <si>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14=1×13</t>
  </si>
  <si>
    <t>24=1×23</t>
  </si>
  <si>
    <t>26=1×25</t>
  </si>
  <si>
    <t>33=31×32</t>
  </si>
  <si>
    <t>36=34×35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</si>
  <si>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</si>
  <si>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</si>
  <si>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</si>
  <si>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</si>
  <si>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</si>
  <si>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</si>
  <si>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</si>
  <si>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</si>
  <si>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</si>
  <si>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t>Расходы на благоустройство и озеленение, уличное освещение, организацию ритуальных услуг и содержание мест захоронения</t>
  </si>
  <si>
    <t>5=1×4</t>
  </si>
  <si>
    <t>7=1×6</t>
  </si>
  <si>
    <t>9=1×8</t>
  </si>
  <si>
    <t>11=1×10</t>
  </si>
  <si>
    <t>13=1×12</t>
  </si>
  <si>
    <t>15=1×14</t>
  </si>
  <si>
    <t>18=16×17×12мес/1000</t>
  </si>
  <si>
    <t>19=сумма расх.</t>
  </si>
  <si>
    <t>20=19/1</t>
  </si>
  <si>
    <t>21=(19/1)/(19общ/1общ)</t>
  </si>
  <si>
    <t>РАСЧЕТ распределения средств</t>
  </si>
  <si>
    <t xml:space="preserve">иных дотаций (Рз 1402, ВР 512) [или иных межбюджетных трансфертов (Рз 14 03, ВР 540)]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</si>
  <si>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</si>
  <si>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Иные межбюджетные трансферты за счет средств бюджета района</t>
  </si>
  <si>
    <t>4=1+2+3</t>
  </si>
  <si>
    <t>Оплата труда</t>
  </si>
  <si>
    <t>Начисления</t>
  </si>
  <si>
    <t>Коммунальные услуги</t>
  </si>
  <si>
    <t>Уплата налогов и сборов</t>
  </si>
  <si>
    <t>Услуги связи</t>
  </si>
  <si>
    <t>10=сумм(5:9)</t>
  </si>
  <si>
    <t>11=10-4, если 4&lt;10</t>
  </si>
  <si>
    <t>Гордеевское</t>
  </si>
  <si>
    <t>Глинновское</t>
  </si>
  <si>
    <t>Мирнинское</t>
  </si>
  <si>
    <t>Рудневоробьевское</t>
  </si>
  <si>
    <t>Петровобудское</t>
  </si>
  <si>
    <t>Творишинское</t>
  </si>
  <si>
    <t>Уношевское</t>
  </si>
  <si>
    <t>Кап.ремонт</t>
  </si>
  <si>
    <t xml:space="preserve">Доля налога в оценке ФОТ (2020 год) </t>
  </si>
  <si>
    <t>Численность постоянного населения на 01.01.2024, чел.</t>
  </si>
  <si>
    <t>Численность постоянного населения на 1.01.2024, чел.</t>
  </si>
  <si>
    <t>за счет средств бюджета муниципального района на 2027 год</t>
  </si>
  <si>
    <t>РАСЧЕТ индекса бюджетных расходов на 2027 год</t>
  </si>
  <si>
    <t>РАСЧЕТ индекса налогового потенциала на 2027 год</t>
  </si>
  <si>
    <t>предоставляемых за счет субвенций из областного бюджета, на 2027 год</t>
  </si>
  <si>
    <r>
      <t>12=Объем</t>
    </r>
    <r>
      <rPr>
        <sz val="12"/>
        <rFont val="Calibri"/>
        <family val="2"/>
        <charset val="204"/>
      </rPr>
      <t>×</t>
    </r>
    <r>
      <rPr>
        <i/>
        <sz val="12"/>
        <rFont val="Times New Roman Cyr"/>
        <charset val="204"/>
      </rPr>
      <t>11/11общ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</si>
</sst>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5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i/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 Cyr"/>
      <family val="1"/>
      <charset val="204"/>
    </font>
    <font>
      <b/>
      <sz val="12"/>
      <color indexed="59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37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2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66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4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1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1" fillId="6" borderId="3" xfId="2" applyNumberFormat="1" applyFont="1" applyFill="1" applyBorder="1" applyProtection="1">
      <protection locked="0"/>
    </xf>
    <xf numFmtId="166" fontId="47" fillId="0" borderId="0" xfId="2" applyNumberFormat="1" applyFont="1"/>
    <xf numFmtId="0" fontId="47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0" fillId="0" borderId="1" xfId="2" applyNumberFormat="1" applyFont="1" applyFill="1" applyBorder="1"/>
    <xf numFmtId="170" fontId="5" fillId="0" borderId="1" xfId="2" applyNumberFormat="1" applyFont="1" applyFill="1" applyBorder="1"/>
    <xf numFmtId="1" fontId="44" fillId="2" borderId="1" xfId="2" applyNumberFormat="1" applyFont="1" applyFill="1" applyBorder="1"/>
    <xf numFmtId="168" fontId="44" fillId="2" borderId="1" xfId="2" applyNumberFormat="1" applyFont="1" applyFill="1" applyBorder="1" applyAlignment="1">
      <alignment horizontal="center"/>
    </xf>
    <xf numFmtId="166" fontId="44" fillId="2" borderId="1" xfId="2" applyNumberFormat="1" applyFont="1" applyFill="1" applyBorder="1"/>
    <xf numFmtId="166" fontId="44" fillId="2" borderId="1" xfId="2" applyNumberFormat="1" applyFont="1" applyFill="1" applyBorder="1" applyAlignment="1">
      <alignment horizontal="center"/>
    </xf>
    <xf numFmtId="168" fontId="44" fillId="2" borderId="1" xfId="2" applyNumberFormat="1" applyFont="1" applyFill="1" applyBorder="1"/>
    <xf numFmtId="172" fontId="44" fillId="2" borderId="1" xfId="2" applyNumberFormat="1" applyFont="1" applyFill="1" applyBorder="1"/>
    <xf numFmtId="170" fontId="44" fillId="2" borderId="1" xfId="2" applyNumberFormat="1" applyFont="1" applyFill="1" applyBorder="1"/>
    <xf numFmtId="167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168" fontId="24" fillId="8" borderId="1" xfId="2" applyNumberFormat="1" applyFont="1" applyFill="1" applyBorder="1" applyProtection="1">
      <protection locked="0"/>
    </xf>
    <xf numFmtId="172" fontId="5" fillId="8" borderId="1" xfId="2" applyNumberFormat="1" applyFont="1" applyFill="1" applyBorder="1"/>
    <xf numFmtId="166" fontId="24" fillId="8" borderId="1" xfId="2" applyNumberFormat="1" applyFont="1" applyFill="1" applyBorder="1" applyProtection="1">
      <protection locked="0"/>
    </xf>
    <xf numFmtId="173" fontId="24" fillId="8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72" fontId="5" fillId="4" borderId="1" xfId="2" applyNumberFormat="1" applyFont="1" applyFill="1" applyBorder="1"/>
    <xf numFmtId="166" fontId="44" fillId="4" borderId="1" xfId="2" applyNumberFormat="1" applyFont="1" applyFill="1" applyBorder="1" applyAlignment="1">
      <alignment horizontal="center"/>
    </xf>
    <xf numFmtId="167" fontId="44" fillId="4" borderId="1" xfId="2" applyNumberFormat="1" applyFont="1" applyFill="1" applyBorder="1"/>
    <xf numFmtId="166" fontId="24" fillId="4" borderId="1" xfId="2" applyNumberFormat="1" applyFont="1" applyFill="1" applyBorder="1" applyProtection="1">
      <protection locked="0"/>
    </xf>
    <xf numFmtId="167" fontId="24" fillId="4" borderId="1" xfId="2" applyNumberFormat="1" applyFont="1" applyFill="1" applyBorder="1" applyProtection="1">
      <protection locked="0"/>
    </xf>
    <xf numFmtId="173" fontId="24" fillId="4" borderId="1" xfId="2" applyNumberFormat="1" applyFont="1" applyFill="1" applyBorder="1" applyProtection="1">
      <protection locked="0"/>
    </xf>
    <xf numFmtId="167" fontId="4" fillId="0" borderId="0" xfId="2" applyNumberFormat="1" applyFill="1"/>
    <xf numFmtId="22" fontId="42" fillId="0" borderId="0" xfId="2" applyNumberFormat="1" applyFont="1" applyBorder="1" applyAlignment="1">
      <alignment horizontal="center" wrapText="1"/>
    </xf>
    <xf numFmtId="0" fontId="42" fillId="0" borderId="0" xfId="2" applyFont="1" applyFill="1" applyBorder="1" applyAlignment="1">
      <alignment wrapText="1"/>
    </xf>
    <xf numFmtId="0" fontId="50" fillId="0" borderId="0" xfId="2" applyFont="1"/>
    <xf numFmtId="0" fontId="40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53" fillId="2" borderId="2" xfId="2" applyFont="1" applyFill="1" applyBorder="1" applyAlignment="1">
      <alignment horizontal="center" vertical="center" wrapText="1"/>
    </xf>
    <xf numFmtId="171" fontId="30" fillId="3" borderId="2" xfId="2" applyNumberFormat="1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wrapText="1"/>
    </xf>
    <xf numFmtId="171" fontId="42" fillId="0" borderId="3" xfId="2" applyNumberFormat="1" applyFont="1" applyFill="1" applyBorder="1"/>
    <xf numFmtId="171" fontId="24" fillId="0" borderId="1" xfId="2" applyNumberFormat="1" applyFont="1" applyFill="1" applyBorder="1"/>
    <xf numFmtId="171" fontId="30" fillId="0" borderId="1" xfId="2" applyNumberFormat="1" applyFont="1" applyFill="1" applyBorder="1"/>
    <xf numFmtId="0" fontId="51" fillId="0" borderId="1" xfId="0" applyFont="1" applyBorder="1"/>
    <xf numFmtId="1" fontId="51" fillId="0" borderId="1" xfId="0" applyNumberFormat="1" applyFont="1" applyBorder="1"/>
    <xf numFmtId="167" fontId="30" fillId="0" borderId="1" xfId="2" applyNumberFormat="1" applyFont="1" applyFill="1" applyBorder="1"/>
    <xf numFmtId="1" fontId="51" fillId="4" borderId="1" xfId="0" applyNumberFormat="1" applyFont="1" applyFill="1" applyBorder="1"/>
    <xf numFmtId="171" fontId="54" fillId="2" borderId="1" xfId="2" applyNumberFormat="1" applyFont="1" applyFill="1" applyBorder="1"/>
    <xf numFmtId="167" fontId="54" fillId="2" borderId="1" xfId="2" applyNumberFormat="1" applyFont="1" applyFill="1" applyBorder="1"/>
    <xf numFmtId="172" fontId="24" fillId="0" borderId="1" xfId="2" applyNumberFormat="1" applyFont="1" applyFill="1" applyBorder="1" applyAlignment="1">
      <alignment horizontal="right" wrapText="1"/>
    </xf>
    <xf numFmtId="10" fontId="24" fillId="0" borderId="1" xfId="2" applyNumberFormat="1" applyFont="1" applyFill="1" applyBorder="1" applyAlignment="1">
      <alignment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0" fillId="2" borderId="8" xfId="2" applyFont="1" applyFill="1" applyBorder="1" applyAlignment="1">
      <alignment horizontal="center" vertical="center" wrapText="1"/>
    </xf>
    <xf numFmtId="0" fontId="40" fillId="2" borderId="9" xfId="2" applyFont="1" applyFill="1" applyBorder="1" applyAlignment="1">
      <alignment horizontal="center" vertical="center" wrapText="1"/>
    </xf>
    <xf numFmtId="0" fontId="40" fillId="2" borderId="7" xfId="2" applyFont="1" applyFill="1" applyBorder="1" applyAlignment="1">
      <alignment horizontal="center" wrapText="1"/>
    </xf>
    <xf numFmtId="0" fontId="40" fillId="2" borderId="4" xfId="2" applyFont="1" applyFill="1" applyBorder="1" applyAlignment="1">
      <alignment horizontal="center" wrapText="1"/>
    </xf>
    <xf numFmtId="0" fontId="24" fillId="2" borderId="1" xfId="2" applyFont="1" applyFill="1" applyBorder="1" applyAlignment="1">
      <alignment horizontal="center" vertical="center" wrapText="1"/>
    </xf>
    <xf numFmtId="0" fontId="30" fillId="2" borderId="1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  <xf numFmtId="22" fontId="42" fillId="0" borderId="0" xfId="2" applyNumberFormat="1" applyFont="1" applyBorder="1" applyAlignment="1">
      <alignment horizontal="center" wrapText="1"/>
    </xf>
    <xf numFmtId="0" fontId="51" fillId="2" borderId="1" xfId="2" applyFont="1" applyFill="1" applyBorder="1" applyAlignment="1">
      <alignment horizontal="center" vertical="center" wrapText="1"/>
    </xf>
    <xf numFmtId="0" fontId="30" fillId="2" borderId="6" xfId="2" applyFont="1" applyFill="1" applyBorder="1" applyAlignment="1">
      <alignment horizontal="center" vertical="center" wrapText="1"/>
    </xf>
    <xf numFmtId="0" fontId="30" fillId="2" borderId="2" xfId="2" applyFont="1" applyFill="1" applyBorder="1" applyAlignment="1">
      <alignment horizontal="center" vertical="center" wrapText="1"/>
    </xf>
    <xf numFmtId="0" fontId="30" fillId="2" borderId="3" xfId="2" applyFont="1" applyFill="1" applyBorder="1" applyAlignment="1">
      <alignment horizontal="center" vertical="center" wrapText="1"/>
    </xf>
    <xf numFmtId="0" fontId="24" fillId="2" borderId="6" xfId="2" applyFont="1" applyFill="1" applyBorder="1" applyAlignment="1">
      <alignment horizontal="center" vertical="center" wrapText="1"/>
    </xf>
    <xf numFmtId="0" fontId="24" fillId="2" borderId="2" xfId="2" applyFont="1" applyFill="1" applyBorder="1" applyAlignment="1">
      <alignment horizontal="center" vertical="center" wrapText="1"/>
    </xf>
    <xf numFmtId="0" fontId="24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505239</xdr:colOff>
      <xdr:row>2</xdr:row>
      <xdr:rowOff>115958</xdr:rowOff>
    </xdr:from>
    <xdr:to>
      <xdr:col>14</xdr:col>
      <xdr:colOff>829278</xdr:colOff>
      <xdr:row>5</xdr:row>
      <xdr:rowOff>190500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9763539" y="573158"/>
          <a:ext cx="2457639" cy="731767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zoomScaleNormal="100" zoomScaleSheetLayoutView="85" workbookViewId="0">
      <selection activeCell="K30" sqref="K3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8.5" style="1" customWidth="1"/>
    <col min="4" max="4" width="13.5" style="1" customWidth="1"/>
    <col min="5" max="5" width="13.6640625" style="1" customWidth="1"/>
    <col min="6" max="6" width="17.332031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86">
        <f ca="1">NOW()</f>
        <v>45597.671734837961</v>
      </c>
      <c r="B2" s="186"/>
      <c r="C2" s="111" t="s">
        <v>91</v>
      </c>
      <c r="D2" s="109"/>
      <c r="E2" s="109"/>
      <c r="F2" s="109"/>
      <c r="G2" s="109"/>
      <c r="H2" s="109"/>
      <c r="I2" s="88"/>
      <c r="J2" s="89">
        <f>(F23+L2)/F23</f>
        <v>1.0864975629837743</v>
      </c>
      <c r="K2" s="88"/>
      <c r="L2" s="90">
        <v>563.1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8"/>
      <c r="B3" s="108"/>
      <c r="C3" s="111" t="s">
        <v>92</v>
      </c>
      <c r="D3" s="109"/>
      <c r="E3" s="109"/>
      <c r="F3" s="109"/>
      <c r="G3" s="109"/>
      <c r="H3" s="109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8"/>
      <c r="B4" s="108"/>
      <c r="C4" s="111" t="s">
        <v>176</v>
      </c>
      <c r="D4" s="109"/>
      <c r="E4" s="109"/>
      <c r="F4" s="109"/>
      <c r="G4" s="109"/>
      <c r="H4" s="109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8"/>
      <c r="B5" s="108"/>
      <c r="C5" s="111" t="s">
        <v>93</v>
      </c>
      <c r="D5" s="109"/>
      <c r="E5" s="109"/>
      <c r="F5" s="109"/>
      <c r="G5" s="109"/>
      <c r="H5" s="109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7</v>
      </c>
      <c r="B6" s="2"/>
      <c r="C6" s="110"/>
      <c r="D6" s="110"/>
      <c r="E6" s="110"/>
      <c r="F6" s="110"/>
      <c r="G6" s="110"/>
      <c r="H6" s="110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87" t="s">
        <v>1</v>
      </c>
      <c r="B7" s="187" t="s">
        <v>2</v>
      </c>
      <c r="C7" s="188" t="s">
        <v>171</v>
      </c>
      <c r="D7" s="187" t="s">
        <v>3</v>
      </c>
      <c r="E7" s="187" t="s">
        <v>20</v>
      </c>
      <c r="F7" s="187" t="s">
        <v>18</v>
      </c>
      <c r="G7" s="185" t="s">
        <v>21</v>
      </c>
      <c r="H7" s="187" t="s">
        <v>17</v>
      </c>
      <c r="I7" s="187" t="s">
        <v>97</v>
      </c>
      <c r="J7" s="187" t="s">
        <v>19</v>
      </c>
      <c r="K7" s="187" t="s">
        <v>94</v>
      </c>
      <c r="L7" s="10">
        <v>1</v>
      </c>
      <c r="M7" s="187" t="s">
        <v>137</v>
      </c>
      <c r="N7" s="185" t="s">
        <v>96</v>
      </c>
      <c r="O7" s="185" t="s">
        <v>100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87"/>
      <c r="B8" s="187"/>
      <c r="C8" s="188"/>
      <c r="D8" s="187"/>
      <c r="E8" s="187"/>
      <c r="F8" s="187"/>
      <c r="G8" s="185"/>
      <c r="H8" s="187"/>
      <c r="I8" s="187"/>
      <c r="J8" s="187"/>
      <c r="K8" s="187"/>
      <c r="L8" s="185" t="s">
        <v>95</v>
      </c>
      <c r="M8" s="187"/>
      <c r="N8" s="185"/>
      <c r="O8" s="185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87"/>
      <c r="B9" s="187"/>
      <c r="C9" s="188"/>
      <c r="D9" s="187"/>
      <c r="E9" s="187"/>
      <c r="F9" s="187"/>
      <c r="G9" s="185"/>
      <c r="H9" s="187"/>
      <c r="I9" s="187"/>
      <c r="J9" s="187"/>
      <c r="K9" s="187"/>
      <c r="L9" s="190"/>
      <c r="M9" s="187"/>
      <c r="N9" s="185"/>
      <c r="O9" s="185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91" t="s">
        <v>30</v>
      </c>
      <c r="B10" s="192"/>
      <c r="C10" s="21">
        <v>1</v>
      </c>
      <c r="D10" s="21">
        <v>2</v>
      </c>
      <c r="E10" s="21">
        <v>3</v>
      </c>
      <c r="F10" s="21">
        <v>4</v>
      </c>
      <c r="G10" s="21" t="s">
        <v>27</v>
      </c>
      <c r="H10" s="21" t="s">
        <v>28</v>
      </c>
      <c r="I10" s="21" t="s">
        <v>15</v>
      </c>
      <c r="J10" s="21" t="s">
        <v>136</v>
      </c>
      <c r="K10" s="21" t="s">
        <v>16</v>
      </c>
      <c r="L10" s="21" t="s">
        <v>31</v>
      </c>
      <c r="M10" s="21" t="s">
        <v>26</v>
      </c>
      <c r="N10" s="21" t="s">
        <v>86</v>
      </c>
      <c r="O10" s="21" t="s">
        <v>87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</row>
    <row r="11" spans="1:32" s="83" customFormat="1" ht="25.5" x14ac:dyDescent="0.2">
      <c r="A11" s="193"/>
      <c r="B11" s="194"/>
      <c r="C11" s="98" t="s">
        <v>29</v>
      </c>
      <c r="D11" s="98" t="s">
        <v>10</v>
      </c>
      <c r="E11" s="98" t="s">
        <v>11</v>
      </c>
      <c r="F11" s="99"/>
      <c r="G11" s="100"/>
      <c r="H11" s="100"/>
      <c r="I11" s="100"/>
      <c r="J11" s="98"/>
      <c r="K11" s="100"/>
      <c r="L11" s="101">
        <f>ROUND(L2*L7,0)+0.1</f>
        <v>563.1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18" customHeight="1" x14ac:dyDescent="0.25">
      <c r="A12" s="104">
        <v>1</v>
      </c>
      <c r="B12" s="18" t="s">
        <v>162</v>
      </c>
      <c r="C12" s="130">
        <v>3171</v>
      </c>
      <c r="D12" s="14">
        <f>ИНП2027!U9</f>
        <v>1.60738</v>
      </c>
      <c r="E12" s="14">
        <f>ИБР2027!AR9</f>
        <v>0.99546999999999997</v>
      </c>
      <c r="F12" s="16">
        <f>ИНП2027!T9</f>
        <v>3441</v>
      </c>
      <c r="G12" s="17">
        <f>F12/E12</f>
        <v>3456.6586637467731</v>
      </c>
      <c r="H12" s="20">
        <f>F12/C12</f>
        <v>1.0851466414380322</v>
      </c>
      <c r="I12" s="13">
        <f>D12/E12</f>
        <v>1.6146945663857275</v>
      </c>
      <c r="J12" s="112">
        <f>IF(I12&lt;$J$2,$J$2*($J$2-I12)*E12*C12,0)</f>
        <v>0</v>
      </c>
      <c r="K12" s="15">
        <f>J12/$J$23</f>
        <v>0</v>
      </c>
      <c r="L12" s="115">
        <f t="shared" ref="L12:L22" si="0">ROUND($L$11*K12/$K$23,0)</f>
        <v>0</v>
      </c>
      <c r="M12" s="13">
        <f>I12+L12/(C12*E12*$J$2)</f>
        <v>1.6146945663857275</v>
      </c>
      <c r="N12" s="115">
        <f>ROUND((G12+L12),1)</f>
        <v>3456.7</v>
      </c>
      <c r="O12" s="117">
        <f>ROUND(N12/C12,3)</f>
        <v>1.0900000000000001</v>
      </c>
    </row>
    <row r="13" spans="1:32" s="7" customFormat="1" ht="16.5" x14ac:dyDescent="0.25">
      <c r="A13" s="105">
        <v>2</v>
      </c>
      <c r="B13" s="18" t="s">
        <v>163</v>
      </c>
      <c r="C13" s="130">
        <v>715</v>
      </c>
      <c r="D13" s="14">
        <f>ИНП2027!U10</f>
        <v>1.0004200000000001</v>
      </c>
      <c r="E13" s="14">
        <f>ИБР2027!AR10</f>
        <v>1.02172</v>
      </c>
      <c r="F13" s="16">
        <f>ИНП2027!T10</f>
        <v>482.9</v>
      </c>
      <c r="G13" s="17">
        <f t="shared" ref="G13:G22" si="1">F13/E13</f>
        <v>472.6343812394785</v>
      </c>
      <c r="H13" s="20">
        <f t="shared" ref="H13:H22" si="2">F13/C13</f>
        <v>0.67538461538461536</v>
      </c>
      <c r="I13" s="13">
        <f t="shared" ref="I13:I22" si="3">D13/E13</f>
        <v>0.9791528011588303</v>
      </c>
      <c r="J13" s="112">
        <f t="shared" ref="J13:J22" si="4">IF(I13&lt;$J$2,$J$2*($J$2-I13)*E13*C13,0)</f>
        <v>85.201560628729183</v>
      </c>
      <c r="K13" s="15">
        <f t="shared" ref="K13:K22" si="5">J13/$J$23</f>
        <v>3.1349437179311067E-2</v>
      </c>
      <c r="L13" s="115">
        <f t="shared" si="0"/>
        <v>18</v>
      </c>
      <c r="M13" s="13">
        <f t="shared" ref="M13:M22" si="6">I13+L13/(C13*E13*$J$2)</f>
        <v>1.0018308565675651</v>
      </c>
      <c r="N13" s="115">
        <f t="shared" ref="N13:N22" si="7">ROUND((G13+L13),1)</f>
        <v>490.6</v>
      </c>
      <c r="O13" s="117">
        <f t="shared" ref="O13:O22" si="8">ROUND(N13/C13,3)</f>
        <v>0.68600000000000005</v>
      </c>
    </row>
    <row r="14" spans="1:32" s="7" customFormat="1" ht="16.5" customHeight="1" x14ac:dyDescent="0.25">
      <c r="A14" s="105">
        <v>3</v>
      </c>
      <c r="B14" s="18" t="s">
        <v>164</v>
      </c>
      <c r="C14" s="130">
        <v>1555</v>
      </c>
      <c r="D14" s="14">
        <f>ИНП2027!U11</f>
        <v>0.36374000000000001</v>
      </c>
      <c r="E14" s="14">
        <f>ИБР2027!AR11</f>
        <v>0.99573999999999996</v>
      </c>
      <c r="F14" s="16">
        <f>ИНП2027!T11</f>
        <v>381.85</v>
      </c>
      <c r="G14" s="17">
        <f t="shared" si="1"/>
        <v>383.48364030771091</v>
      </c>
      <c r="H14" s="20">
        <f t="shared" si="2"/>
        <v>0.24556270096463023</v>
      </c>
      <c r="I14" s="13">
        <f t="shared" si="3"/>
        <v>0.36529616164862316</v>
      </c>
      <c r="J14" s="112">
        <f t="shared" si="4"/>
        <v>1213.2817509206604</v>
      </c>
      <c r="K14" s="15">
        <f t="shared" si="5"/>
        <v>0.44642022693732791</v>
      </c>
      <c r="L14" s="115">
        <f t="shared" si="0"/>
        <v>251</v>
      </c>
      <c r="M14" s="13">
        <f t="shared" si="6"/>
        <v>0.51449609117674844</v>
      </c>
      <c r="N14" s="115">
        <f t="shared" si="7"/>
        <v>634.5</v>
      </c>
      <c r="O14" s="117">
        <f t="shared" si="8"/>
        <v>0.40799999999999997</v>
      </c>
    </row>
    <row r="15" spans="1:32" s="19" customFormat="1" ht="16.5" customHeight="1" x14ac:dyDescent="0.25">
      <c r="A15" s="104">
        <v>4</v>
      </c>
      <c r="B15" s="18" t="s">
        <v>165</v>
      </c>
      <c r="C15" s="130">
        <v>923</v>
      </c>
      <c r="D15" s="14">
        <f>ИНП2027!U12</f>
        <v>1.0255300000000001</v>
      </c>
      <c r="E15" s="14">
        <f>ИБР2027!AR12</f>
        <v>0.99573999999999996</v>
      </c>
      <c r="F15" s="16">
        <f>ИНП2027!T12</f>
        <v>639.03</v>
      </c>
      <c r="G15" s="26">
        <f t="shared" si="1"/>
        <v>641.76391427481065</v>
      </c>
      <c r="H15" s="27">
        <f t="shared" si="2"/>
        <v>0.69234019501625133</v>
      </c>
      <c r="I15" s="28">
        <f t="shared" si="3"/>
        <v>1.0299174483298854</v>
      </c>
      <c r="J15" s="112">
        <f t="shared" si="4"/>
        <v>56.498931465462306</v>
      </c>
      <c r="K15" s="15">
        <f t="shared" si="5"/>
        <v>2.0788465488242199E-2</v>
      </c>
      <c r="L15" s="116">
        <f t="shared" si="0"/>
        <v>12</v>
      </c>
      <c r="M15" s="13">
        <f t="shared" si="6"/>
        <v>1.0419346911030822</v>
      </c>
      <c r="N15" s="115">
        <f t="shared" si="7"/>
        <v>653.79999999999995</v>
      </c>
      <c r="O15" s="117">
        <f t="shared" si="8"/>
        <v>0.70799999999999996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5">
        <v>5</v>
      </c>
      <c r="B16" s="18" t="s">
        <v>166</v>
      </c>
      <c r="C16" s="130">
        <v>899</v>
      </c>
      <c r="D16" s="14">
        <f>ИНП2027!U13</f>
        <v>0.49129</v>
      </c>
      <c r="E16" s="14">
        <f>ИБР2027!AR13</f>
        <v>1.02172</v>
      </c>
      <c r="F16" s="16">
        <f>ИНП2027!T13</f>
        <v>298.17</v>
      </c>
      <c r="G16" s="26">
        <f t="shared" si="1"/>
        <v>291.83142152448812</v>
      </c>
      <c r="H16" s="27">
        <f t="shared" si="2"/>
        <v>0.3316685205784205</v>
      </c>
      <c r="I16" s="28">
        <f t="shared" si="3"/>
        <v>0.48084602435109425</v>
      </c>
      <c r="J16" s="112">
        <f t="shared" si="4"/>
        <v>604.4260419641621</v>
      </c>
      <c r="K16" s="15">
        <f t="shared" si="5"/>
        <v>0.22239517788487437</v>
      </c>
      <c r="L16" s="116">
        <f t="shared" si="0"/>
        <v>125</v>
      </c>
      <c r="M16" s="13">
        <f t="shared" si="6"/>
        <v>0.60609946658046432</v>
      </c>
      <c r="N16" s="115">
        <f t="shared" si="7"/>
        <v>416.8</v>
      </c>
      <c r="O16" s="117">
        <f t="shared" si="8"/>
        <v>0.46400000000000002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5">
        <v>6</v>
      </c>
      <c r="B17" s="18" t="s">
        <v>167</v>
      </c>
      <c r="C17" s="130">
        <v>1446</v>
      </c>
      <c r="D17" s="14">
        <f>ИНП2027!U14</f>
        <v>0.76060000000000005</v>
      </c>
      <c r="E17" s="14">
        <f>ИБР2027!AR14</f>
        <v>0.99573999999999996</v>
      </c>
      <c r="F17" s="16">
        <f>ИНП2027!T14</f>
        <v>742.5</v>
      </c>
      <c r="G17" s="26">
        <f t="shared" si="1"/>
        <v>745.67658224034392</v>
      </c>
      <c r="H17" s="27">
        <f t="shared" si="2"/>
        <v>0.51348547717842319</v>
      </c>
      <c r="I17" s="28">
        <f t="shared" si="3"/>
        <v>0.76385401811717923</v>
      </c>
      <c r="J17" s="112">
        <f t="shared" si="4"/>
        <v>504.73797809642565</v>
      </c>
      <c r="K17" s="15">
        <f t="shared" si="5"/>
        <v>0.18571551295048611</v>
      </c>
      <c r="L17" s="116">
        <f>ROUND($L$11*K17/$K$23,0)</f>
        <v>105</v>
      </c>
      <c r="M17" s="13">
        <f t="shared" si="6"/>
        <v>0.83097314463656402</v>
      </c>
      <c r="N17" s="115">
        <f t="shared" si="7"/>
        <v>850.7</v>
      </c>
      <c r="O17" s="117">
        <f t="shared" si="8"/>
        <v>0.58799999999999997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4">
        <v>7</v>
      </c>
      <c r="B18" s="18" t="s">
        <v>168</v>
      </c>
      <c r="C18" s="130">
        <v>934</v>
      </c>
      <c r="D18" s="14">
        <f>ИНП2027!U15</f>
        <v>0.83191000000000004</v>
      </c>
      <c r="E18" s="14">
        <f>ИБР2027!AR15</f>
        <v>0.99573999999999996</v>
      </c>
      <c r="F18" s="16">
        <f>ИНП2027!T15</f>
        <v>524.55999999999995</v>
      </c>
      <c r="G18" s="26">
        <f t="shared" si="1"/>
        <v>526.80418583164271</v>
      </c>
      <c r="H18" s="27">
        <f t="shared" si="2"/>
        <v>0.56162740899357599</v>
      </c>
      <c r="I18" s="28">
        <f t="shared" si="3"/>
        <v>0.8354690983590094</v>
      </c>
      <c r="J18" s="112">
        <f t="shared" si="4"/>
        <v>253.65565921736663</v>
      </c>
      <c r="K18" s="15">
        <f t="shared" si="5"/>
        <v>9.3331179559758476E-2</v>
      </c>
      <c r="L18" s="116">
        <f>ROUND($L$11*K18/$K$23,0)-0.9</f>
        <v>52.1</v>
      </c>
      <c r="M18" s="13">
        <f t="shared" si="6"/>
        <v>0.8870294816254547</v>
      </c>
      <c r="N18" s="115">
        <f t="shared" si="7"/>
        <v>578.9</v>
      </c>
      <c r="O18" s="117">
        <f t="shared" si="8"/>
        <v>0.62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0.75" customHeight="1" x14ac:dyDescent="0.25">
      <c r="A19" s="107">
        <v>8</v>
      </c>
      <c r="B19" s="18" t="s">
        <v>33</v>
      </c>
      <c r="C19" s="130" t="e">
        <f>ИНП2027!#REF!</f>
        <v>#REF!</v>
      </c>
      <c r="D19" s="14" t="e">
        <f>ИНП2027!#REF!</f>
        <v>#REF!</v>
      </c>
      <c r="E19" s="14" t="e">
        <f>ИБР2027!AR16</f>
        <v>#DIV/0!</v>
      </c>
      <c r="F19" s="16" t="e">
        <f>ИНП2027!#REF!</f>
        <v>#REF!</v>
      </c>
      <c r="G19" s="26" t="e">
        <f t="shared" si="1"/>
        <v>#REF!</v>
      </c>
      <c r="H19" s="27" t="e">
        <f t="shared" si="2"/>
        <v>#REF!</v>
      </c>
      <c r="I19" s="28" t="e">
        <f t="shared" si="3"/>
        <v>#REF!</v>
      </c>
      <c r="J19" s="112" t="e">
        <f t="shared" si="4"/>
        <v>#REF!</v>
      </c>
      <c r="K19" s="15" t="e">
        <f t="shared" si="5"/>
        <v>#REF!</v>
      </c>
      <c r="L19" s="116" t="e">
        <f t="shared" si="0"/>
        <v>#REF!</v>
      </c>
      <c r="M19" s="13" t="e">
        <f t="shared" si="6"/>
        <v>#REF!</v>
      </c>
      <c r="N19" s="115" t="e">
        <f t="shared" si="7"/>
        <v>#REF!</v>
      </c>
      <c r="O19" s="117" t="e">
        <f t="shared" si="8"/>
        <v>#REF!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1.25" hidden="1" customHeight="1" x14ac:dyDescent="0.25">
      <c r="A20" s="107">
        <v>9</v>
      </c>
      <c r="B20" s="18" t="s">
        <v>34</v>
      </c>
      <c r="C20" s="130" t="e">
        <f>ИНП2027!#REF!</f>
        <v>#REF!</v>
      </c>
      <c r="D20" s="14" t="e">
        <f>ИНП2027!#REF!</f>
        <v>#REF!</v>
      </c>
      <c r="E20" s="14" t="e">
        <f>ИБР2027!AR17</f>
        <v>#DIV/0!</v>
      </c>
      <c r="F20" s="16" t="e">
        <f>ИНП2027!#REF!</f>
        <v>#REF!</v>
      </c>
      <c r="G20" s="26" t="e">
        <f t="shared" si="1"/>
        <v>#REF!</v>
      </c>
      <c r="H20" s="27" t="e">
        <f t="shared" si="2"/>
        <v>#REF!</v>
      </c>
      <c r="I20" s="28" t="e">
        <f t="shared" si="3"/>
        <v>#REF!</v>
      </c>
      <c r="J20" s="112" t="e">
        <f t="shared" si="4"/>
        <v>#REF!</v>
      </c>
      <c r="K20" s="15" t="e">
        <f t="shared" si="5"/>
        <v>#REF!</v>
      </c>
      <c r="L20" s="116" t="e">
        <f t="shared" si="0"/>
        <v>#REF!</v>
      </c>
      <c r="M20" s="13" t="e">
        <f t="shared" si="6"/>
        <v>#REF!</v>
      </c>
      <c r="N20" s="115" t="e">
        <f t="shared" si="7"/>
        <v>#REF!</v>
      </c>
      <c r="O20" s="117" t="e">
        <f t="shared" si="8"/>
        <v>#REF!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4.25" hidden="1" customHeight="1" x14ac:dyDescent="0.25">
      <c r="A21" s="106">
        <v>10</v>
      </c>
      <c r="B21" s="18" t="s">
        <v>35</v>
      </c>
      <c r="C21" s="130" t="e">
        <f>ИНП2027!#REF!</f>
        <v>#REF!</v>
      </c>
      <c r="D21" s="14" t="e">
        <f>ИНП2027!#REF!</f>
        <v>#REF!</v>
      </c>
      <c r="E21" s="14" t="e">
        <f>ИБР2027!AR18</f>
        <v>#DIV/0!</v>
      </c>
      <c r="F21" s="16" t="e">
        <f>ИНП2027!#REF!</f>
        <v>#REF!</v>
      </c>
      <c r="G21" s="26" t="e">
        <f t="shared" si="1"/>
        <v>#REF!</v>
      </c>
      <c r="H21" s="27" t="e">
        <f t="shared" si="2"/>
        <v>#REF!</v>
      </c>
      <c r="I21" s="28" t="e">
        <f t="shared" si="3"/>
        <v>#REF!</v>
      </c>
      <c r="J21" s="112" t="e">
        <f t="shared" si="4"/>
        <v>#REF!</v>
      </c>
      <c r="K21" s="15" t="e">
        <f t="shared" si="5"/>
        <v>#REF!</v>
      </c>
      <c r="L21" s="116" t="e">
        <f t="shared" si="0"/>
        <v>#REF!</v>
      </c>
      <c r="M21" s="13" t="e">
        <f t="shared" si="6"/>
        <v>#REF!</v>
      </c>
      <c r="N21" s="115" t="e">
        <f t="shared" si="7"/>
        <v>#REF!</v>
      </c>
      <c r="O21" s="117" t="e">
        <f t="shared" si="8"/>
        <v>#REF!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24.75" hidden="1" customHeight="1" x14ac:dyDescent="0.25">
      <c r="A22" s="107">
        <v>11</v>
      </c>
      <c r="B22" s="18" t="s">
        <v>36</v>
      </c>
      <c r="C22" s="130" t="e">
        <f>ИНП2027!#REF!</f>
        <v>#REF!</v>
      </c>
      <c r="D22" s="14" t="e">
        <f>ИНП2027!#REF!</f>
        <v>#REF!</v>
      </c>
      <c r="E22" s="14" t="e">
        <f>ИБР2027!AR19</f>
        <v>#DIV/0!</v>
      </c>
      <c r="F22" s="16" t="e">
        <f>ИНП2027!#REF!</f>
        <v>#REF!</v>
      </c>
      <c r="G22" s="26" t="e">
        <f t="shared" si="1"/>
        <v>#REF!</v>
      </c>
      <c r="H22" s="27" t="e">
        <f t="shared" si="2"/>
        <v>#REF!</v>
      </c>
      <c r="I22" s="28" t="e">
        <f t="shared" si="3"/>
        <v>#REF!</v>
      </c>
      <c r="J22" s="112" t="e">
        <f t="shared" si="4"/>
        <v>#REF!</v>
      </c>
      <c r="K22" s="15" t="e">
        <f t="shared" si="5"/>
        <v>#REF!</v>
      </c>
      <c r="L22" s="116" t="e">
        <f t="shared" si="0"/>
        <v>#REF!</v>
      </c>
      <c r="M22" s="13" t="e">
        <f t="shared" si="6"/>
        <v>#REF!</v>
      </c>
      <c r="N22" s="115" t="e">
        <f t="shared" si="7"/>
        <v>#REF!</v>
      </c>
      <c r="O22" s="117" t="e">
        <f t="shared" si="8"/>
        <v>#REF!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89" t="s">
        <v>0</v>
      </c>
      <c r="B23" s="189"/>
      <c r="C23" s="131">
        <f>SUM(C12:C18)</f>
        <v>9643</v>
      </c>
      <c r="D23" s="114">
        <f>ИНП2027!U16</f>
        <v>1</v>
      </c>
      <c r="E23" s="114">
        <f>ИБР2027!AR20</f>
        <v>1</v>
      </c>
      <c r="F23" s="22">
        <f>SUM(F12:F18)</f>
        <v>6510.01</v>
      </c>
      <c r="G23" s="22">
        <f>SUM(G12:G18)</f>
        <v>6518.8527891652475</v>
      </c>
      <c r="H23" s="24">
        <f>AVERAGE(H12:H18)</f>
        <v>0.58645936565056422</v>
      </c>
      <c r="I23" s="23">
        <f>AVERAGE(I12:I18)</f>
        <v>0.86703287405004992</v>
      </c>
      <c r="J23" s="22">
        <f>SUM(J12:J18)</f>
        <v>2717.801922292806</v>
      </c>
      <c r="K23" s="113">
        <f>SUM(K12:K18)</f>
        <v>1</v>
      </c>
      <c r="L23" s="22">
        <f>SUM(L12:L18)</f>
        <v>563.1</v>
      </c>
      <c r="M23" s="23">
        <f>AVERAGE(M12:M18)</f>
        <v>0.92815118543937258</v>
      </c>
      <c r="N23" s="22">
        <f>SUM(N12:N18)</f>
        <v>7081.9999999999991</v>
      </c>
      <c r="O23" s="23">
        <f>AVERAGE(O12:O18)</f>
        <v>0.65200000000000002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rstPageNumber="162" fitToWidth="0" orientation="landscape" useFirstPageNumber="1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6"/>
  <sheetViews>
    <sheetView zoomScale="110" zoomScaleNormal="110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G11" sqref="G11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4.332031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175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87" t="s">
        <v>1</v>
      </c>
      <c r="B4" s="187" t="s">
        <v>32</v>
      </c>
      <c r="C4" s="188" t="s">
        <v>171</v>
      </c>
      <c r="D4" s="196" t="s">
        <v>4</v>
      </c>
      <c r="E4" s="196"/>
      <c r="F4" s="196"/>
      <c r="G4" s="196"/>
      <c r="H4" s="196" t="s">
        <v>39</v>
      </c>
      <c r="I4" s="196"/>
      <c r="J4" s="196"/>
      <c r="K4" s="196"/>
      <c r="L4" s="196" t="s">
        <v>14</v>
      </c>
      <c r="M4" s="196"/>
      <c r="N4" s="196"/>
      <c r="O4" s="196"/>
      <c r="P4" s="196" t="s">
        <v>43</v>
      </c>
      <c r="Q4" s="196"/>
      <c r="R4" s="196"/>
      <c r="S4" s="196"/>
      <c r="T4" s="196" t="s">
        <v>12</v>
      </c>
      <c r="U4" s="196" t="s">
        <v>9</v>
      </c>
    </row>
    <row r="5" spans="1:23" ht="13.15" customHeight="1" x14ac:dyDescent="0.2">
      <c r="A5" s="187"/>
      <c r="B5" s="187"/>
      <c r="C5" s="188"/>
      <c r="D5" s="195" t="s">
        <v>22</v>
      </c>
      <c r="E5" s="195" t="s">
        <v>170</v>
      </c>
      <c r="F5" s="195" t="s">
        <v>37</v>
      </c>
      <c r="G5" s="196" t="s">
        <v>13</v>
      </c>
      <c r="H5" s="195" t="s">
        <v>40</v>
      </c>
      <c r="I5" s="187" t="s">
        <v>45</v>
      </c>
      <c r="J5" s="195" t="s">
        <v>37</v>
      </c>
      <c r="K5" s="196" t="s">
        <v>13</v>
      </c>
      <c r="L5" s="195" t="s">
        <v>41</v>
      </c>
      <c r="M5" s="195" t="s">
        <v>24</v>
      </c>
      <c r="N5" s="195" t="s">
        <v>42</v>
      </c>
      <c r="O5" s="196" t="s">
        <v>13</v>
      </c>
      <c r="P5" s="200" t="s">
        <v>40</v>
      </c>
      <c r="Q5" s="187" t="s">
        <v>44</v>
      </c>
      <c r="R5" s="195" t="s">
        <v>42</v>
      </c>
      <c r="S5" s="196" t="s">
        <v>13</v>
      </c>
      <c r="T5" s="196"/>
      <c r="U5" s="196"/>
    </row>
    <row r="6" spans="1:23" ht="84" customHeight="1" x14ac:dyDescent="0.2">
      <c r="A6" s="187"/>
      <c r="B6" s="187"/>
      <c r="C6" s="188"/>
      <c r="D6" s="195"/>
      <c r="E6" s="195"/>
      <c r="F6" s="195"/>
      <c r="G6" s="196"/>
      <c r="H6" s="195"/>
      <c r="I6" s="187"/>
      <c r="J6" s="195"/>
      <c r="K6" s="196"/>
      <c r="L6" s="195"/>
      <c r="M6" s="195"/>
      <c r="N6" s="195"/>
      <c r="O6" s="196"/>
      <c r="P6" s="200"/>
      <c r="Q6" s="187"/>
      <c r="R6" s="195"/>
      <c r="S6" s="196"/>
      <c r="T6" s="196"/>
      <c r="U6" s="196"/>
    </row>
    <row r="7" spans="1:23" s="25" customFormat="1" ht="28.5" customHeight="1" x14ac:dyDescent="0.2">
      <c r="A7" s="199" t="s">
        <v>30</v>
      </c>
      <c r="B7" s="199"/>
      <c r="C7" s="21">
        <v>1</v>
      </c>
      <c r="D7" s="94">
        <v>2</v>
      </c>
      <c r="E7" s="94">
        <v>3</v>
      </c>
      <c r="F7" s="94">
        <v>4</v>
      </c>
      <c r="G7" s="94" t="s">
        <v>38</v>
      </c>
      <c r="H7" s="94">
        <v>6</v>
      </c>
      <c r="I7" s="94">
        <v>7</v>
      </c>
      <c r="J7" s="94">
        <v>8</v>
      </c>
      <c r="K7" s="94" t="s">
        <v>81</v>
      </c>
      <c r="L7" s="94">
        <v>10</v>
      </c>
      <c r="M7" s="94">
        <v>11</v>
      </c>
      <c r="N7" s="94">
        <v>12</v>
      </c>
      <c r="O7" s="94" t="s">
        <v>82</v>
      </c>
      <c r="P7" s="94">
        <v>14</v>
      </c>
      <c r="Q7" s="94">
        <v>15</v>
      </c>
      <c r="R7" s="94">
        <v>16</v>
      </c>
      <c r="S7" s="94" t="s">
        <v>83</v>
      </c>
      <c r="T7" s="95" t="s">
        <v>84</v>
      </c>
      <c r="U7" s="96" t="s">
        <v>85</v>
      </c>
    </row>
    <row r="8" spans="1:23" s="25" customFormat="1" ht="13.5" x14ac:dyDescent="0.25">
      <c r="A8" s="198"/>
      <c r="B8" s="198"/>
      <c r="C8" s="135" t="s">
        <v>29</v>
      </c>
      <c r="D8" s="37"/>
      <c r="E8" s="135"/>
      <c r="F8" s="135" t="s">
        <v>23</v>
      </c>
      <c r="G8" s="37"/>
      <c r="H8" s="37"/>
      <c r="I8" s="37"/>
      <c r="J8" s="135" t="s">
        <v>23</v>
      </c>
      <c r="K8" s="29"/>
      <c r="L8" s="37"/>
      <c r="M8" s="135" t="s">
        <v>23</v>
      </c>
      <c r="N8" s="135" t="s">
        <v>23</v>
      </c>
      <c r="O8" s="37"/>
      <c r="P8" s="37"/>
      <c r="Q8" s="37"/>
      <c r="R8" s="135" t="s">
        <v>23</v>
      </c>
      <c r="S8" s="37"/>
      <c r="T8" s="29"/>
      <c r="U8" s="30" t="s">
        <v>6</v>
      </c>
    </row>
    <row r="9" spans="1:23" s="25" customFormat="1" ht="16.5" x14ac:dyDescent="0.25">
      <c r="A9" s="104">
        <v>1</v>
      </c>
      <c r="B9" s="18" t="s">
        <v>162</v>
      </c>
      <c r="C9" s="130">
        <v>3171</v>
      </c>
      <c r="D9" s="183">
        <v>348845</v>
      </c>
      <c r="E9" s="184">
        <v>0.13689999999999999</v>
      </c>
      <c r="F9" s="31">
        <v>0.02</v>
      </c>
      <c r="G9" s="32">
        <f>ROUND(D9*F9*E9,0)</f>
        <v>955</v>
      </c>
      <c r="H9" s="38">
        <v>1372</v>
      </c>
      <c r="I9" s="38">
        <v>0</v>
      </c>
      <c r="J9" s="31">
        <v>1</v>
      </c>
      <c r="K9" s="32">
        <f>ROUND((H9+I9)*J9,0)</f>
        <v>1372</v>
      </c>
      <c r="L9" s="38">
        <v>4326</v>
      </c>
      <c r="M9" s="31">
        <v>0.06</v>
      </c>
      <c r="N9" s="31">
        <v>0.3</v>
      </c>
      <c r="O9" s="32">
        <f>ROUND(L9*M9*N9,0)</f>
        <v>78</v>
      </c>
      <c r="P9" s="32">
        <v>1036</v>
      </c>
      <c r="Q9" s="32"/>
      <c r="R9" s="31">
        <v>1</v>
      </c>
      <c r="S9" s="32">
        <f>ROUND((P9+Q9)*R9,0)</f>
        <v>1036</v>
      </c>
      <c r="T9" s="32">
        <f>G9+K9+O9+S9</f>
        <v>3441</v>
      </c>
      <c r="U9" s="33">
        <f t="shared" ref="U9:U15" si="0">ROUND((T9/C9)/($T$16/$C$16),5)</f>
        <v>1.60738</v>
      </c>
      <c r="V9" s="34"/>
      <c r="W9" s="35"/>
    </row>
    <row r="10" spans="1:23" s="25" customFormat="1" ht="16.5" x14ac:dyDescent="0.25">
      <c r="A10" s="105">
        <v>2</v>
      </c>
      <c r="B10" s="18" t="s">
        <v>163</v>
      </c>
      <c r="C10" s="130">
        <v>715</v>
      </c>
      <c r="D10" s="183">
        <v>25802</v>
      </c>
      <c r="E10" s="184">
        <v>5.6000000000000001E-2</v>
      </c>
      <c r="F10" s="31">
        <v>0.02</v>
      </c>
      <c r="G10" s="32">
        <f>ROUND(D10*F10*E10,2)</f>
        <v>28.9</v>
      </c>
      <c r="H10" s="38">
        <v>149</v>
      </c>
      <c r="I10" s="38">
        <v>0</v>
      </c>
      <c r="J10" s="31">
        <v>1</v>
      </c>
      <c r="K10" s="32">
        <f t="shared" ref="K10:K15" si="1">ROUND((H10+I10)*J10,0)</f>
        <v>149</v>
      </c>
      <c r="L10" s="38">
        <v>720</v>
      </c>
      <c r="M10" s="31">
        <v>0.06</v>
      </c>
      <c r="N10" s="31">
        <v>0.3</v>
      </c>
      <c r="O10" s="32">
        <f t="shared" ref="O10:O15" si="2">ROUND(L10*M10*N10,0)</f>
        <v>13</v>
      </c>
      <c r="P10" s="32">
        <v>292</v>
      </c>
      <c r="Q10" s="32"/>
      <c r="R10" s="31">
        <v>1</v>
      </c>
      <c r="S10" s="32">
        <f t="shared" ref="S10:S15" si="3">ROUND((P10+Q10)*R10,0)</f>
        <v>292</v>
      </c>
      <c r="T10" s="32">
        <f t="shared" ref="T10:T15" si="4">G10+K10+O10+S10</f>
        <v>482.9</v>
      </c>
      <c r="U10" s="33">
        <f t="shared" si="0"/>
        <v>1.0004200000000001</v>
      </c>
      <c r="V10" s="34"/>
      <c r="W10" s="35"/>
    </row>
    <row r="11" spans="1:23" s="25" customFormat="1" ht="16.5" x14ac:dyDescent="0.25">
      <c r="A11" s="105">
        <v>3</v>
      </c>
      <c r="B11" s="18" t="s">
        <v>164</v>
      </c>
      <c r="C11" s="130">
        <v>1555</v>
      </c>
      <c r="D11" s="183">
        <v>38180</v>
      </c>
      <c r="E11" s="184">
        <v>0.13600000000000001</v>
      </c>
      <c r="F11" s="31">
        <v>0.02</v>
      </c>
      <c r="G11" s="32">
        <f t="shared" ref="G11:G15" si="5">ROUND(D11*F11*E11,2)</f>
        <v>103.85</v>
      </c>
      <c r="H11" s="38">
        <v>111</v>
      </c>
      <c r="I11" s="38">
        <v>0</v>
      </c>
      <c r="J11" s="31">
        <v>1</v>
      </c>
      <c r="K11" s="32">
        <f t="shared" si="1"/>
        <v>111</v>
      </c>
      <c r="L11" s="38">
        <v>1800</v>
      </c>
      <c r="M11" s="31">
        <v>0.06</v>
      </c>
      <c r="N11" s="31">
        <v>0.3</v>
      </c>
      <c r="O11" s="32">
        <f t="shared" si="2"/>
        <v>32</v>
      </c>
      <c r="P11" s="32">
        <v>135</v>
      </c>
      <c r="Q11" s="32"/>
      <c r="R11" s="31">
        <v>1</v>
      </c>
      <c r="S11" s="32">
        <f t="shared" si="3"/>
        <v>135</v>
      </c>
      <c r="T11" s="32">
        <f t="shared" si="4"/>
        <v>381.85</v>
      </c>
      <c r="U11" s="33">
        <f t="shared" si="0"/>
        <v>0.36374000000000001</v>
      </c>
      <c r="V11" s="34"/>
      <c r="W11" s="35"/>
    </row>
    <row r="12" spans="1:23" s="25" customFormat="1" ht="16.5" x14ac:dyDescent="0.25">
      <c r="A12" s="104">
        <v>4</v>
      </c>
      <c r="B12" s="18" t="s">
        <v>165</v>
      </c>
      <c r="C12" s="130">
        <v>923</v>
      </c>
      <c r="D12" s="183">
        <v>42208</v>
      </c>
      <c r="E12" s="184">
        <v>6.4000000000000001E-2</v>
      </c>
      <c r="F12" s="31">
        <v>0.02</v>
      </c>
      <c r="G12" s="32">
        <f t="shared" si="5"/>
        <v>54.03</v>
      </c>
      <c r="H12" s="38">
        <v>103</v>
      </c>
      <c r="I12" s="38">
        <v>0</v>
      </c>
      <c r="J12" s="31">
        <v>1</v>
      </c>
      <c r="K12" s="32">
        <f t="shared" si="1"/>
        <v>103</v>
      </c>
      <c r="L12" s="38">
        <v>4560</v>
      </c>
      <c r="M12" s="31">
        <v>0.06</v>
      </c>
      <c r="N12" s="31">
        <v>0.3</v>
      </c>
      <c r="O12" s="32">
        <f t="shared" si="2"/>
        <v>82</v>
      </c>
      <c r="P12" s="32">
        <v>400</v>
      </c>
      <c r="Q12" s="32"/>
      <c r="R12" s="31">
        <v>1</v>
      </c>
      <c r="S12" s="32">
        <f t="shared" si="3"/>
        <v>400</v>
      </c>
      <c r="T12" s="32">
        <f t="shared" si="4"/>
        <v>639.03</v>
      </c>
      <c r="U12" s="33">
        <f t="shared" si="0"/>
        <v>1.0255300000000001</v>
      </c>
      <c r="V12" s="34"/>
      <c r="W12" s="35"/>
    </row>
    <row r="13" spans="1:23" s="25" customFormat="1" ht="16.5" x14ac:dyDescent="0.25">
      <c r="A13" s="105">
        <v>5</v>
      </c>
      <c r="B13" s="18" t="s">
        <v>166</v>
      </c>
      <c r="C13" s="130">
        <v>899</v>
      </c>
      <c r="D13" s="183">
        <v>19985</v>
      </c>
      <c r="E13" s="184">
        <v>9.2999999999999999E-2</v>
      </c>
      <c r="F13" s="31">
        <v>0.02</v>
      </c>
      <c r="G13" s="32">
        <f t="shared" si="5"/>
        <v>37.17</v>
      </c>
      <c r="H13" s="38">
        <v>58</v>
      </c>
      <c r="I13" s="38">
        <v>0</v>
      </c>
      <c r="J13" s="31">
        <v>1</v>
      </c>
      <c r="K13" s="32">
        <f t="shared" si="1"/>
        <v>58</v>
      </c>
      <c r="L13" s="38">
        <v>5950</v>
      </c>
      <c r="M13" s="31">
        <v>0.06</v>
      </c>
      <c r="N13" s="31">
        <v>0.3</v>
      </c>
      <c r="O13" s="32">
        <f t="shared" si="2"/>
        <v>107</v>
      </c>
      <c r="P13" s="32">
        <v>96</v>
      </c>
      <c r="Q13" s="32"/>
      <c r="R13" s="31">
        <v>1</v>
      </c>
      <c r="S13" s="32">
        <f t="shared" si="3"/>
        <v>96</v>
      </c>
      <c r="T13" s="32">
        <f t="shared" si="4"/>
        <v>298.17</v>
      </c>
      <c r="U13" s="33">
        <f t="shared" si="0"/>
        <v>0.49129</v>
      </c>
      <c r="V13" s="34"/>
      <c r="W13" s="35"/>
    </row>
    <row r="14" spans="1:23" s="25" customFormat="1" ht="16.5" x14ac:dyDescent="0.25">
      <c r="A14" s="105">
        <v>6</v>
      </c>
      <c r="B14" s="18" t="s">
        <v>167</v>
      </c>
      <c r="C14" s="130">
        <v>1446</v>
      </c>
      <c r="D14" s="183">
        <v>26249</v>
      </c>
      <c r="E14" s="184">
        <v>0.14000000000000001</v>
      </c>
      <c r="F14" s="31">
        <v>0.02</v>
      </c>
      <c r="G14" s="32">
        <f t="shared" si="5"/>
        <v>73.5</v>
      </c>
      <c r="H14" s="38">
        <v>324</v>
      </c>
      <c r="I14" s="38">
        <v>0</v>
      </c>
      <c r="J14" s="31">
        <v>1</v>
      </c>
      <c r="K14" s="32">
        <f t="shared" si="1"/>
        <v>324</v>
      </c>
      <c r="L14" s="38">
        <v>4400</v>
      </c>
      <c r="M14" s="31">
        <v>0.06</v>
      </c>
      <c r="N14" s="31">
        <v>0.3</v>
      </c>
      <c r="O14" s="32">
        <f t="shared" si="2"/>
        <v>79</v>
      </c>
      <c r="P14" s="32">
        <v>266</v>
      </c>
      <c r="Q14" s="32"/>
      <c r="R14" s="31">
        <v>1</v>
      </c>
      <c r="S14" s="32">
        <f t="shared" si="3"/>
        <v>266</v>
      </c>
      <c r="T14" s="32">
        <f t="shared" si="4"/>
        <v>742.5</v>
      </c>
      <c r="U14" s="33">
        <f t="shared" si="0"/>
        <v>0.76060000000000005</v>
      </c>
      <c r="V14" s="34"/>
      <c r="W14" s="35"/>
    </row>
    <row r="15" spans="1:23" s="25" customFormat="1" ht="16.5" x14ac:dyDescent="0.25">
      <c r="A15" s="104">
        <v>7</v>
      </c>
      <c r="B15" s="18" t="s">
        <v>168</v>
      </c>
      <c r="C15" s="130">
        <v>934</v>
      </c>
      <c r="D15" s="183">
        <v>20731</v>
      </c>
      <c r="E15" s="184">
        <v>9.2999999999999999E-2</v>
      </c>
      <c r="F15" s="31">
        <v>0.02</v>
      </c>
      <c r="G15" s="32">
        <f t="shared" si="5"/>
        <v>38.56</v>
      </c>
      <c r="H15" s="38">
        <v>94</v>
      </c>
      <c r="I15" s="38">
        <v>0</v>
      </c>
      <c r="J15" s="31">
        <v>1</v>
      </c>
      <c r="K15" s="32">
        <f t="shared" si="1"/>
        <v>94</v>
      </c>
      <c r="L15" s="38"/>
      <c r="M15" s="31">
        <v>0.06</v>
      </c>
      <c r="N15" s="31">
        <v>0.3</v>
      </c>
      <c r="O15" s="32">
        <f t="shared" si="2"/>
        <v>0</v>
      </c>
      <c r="P15" s="32">
        <v>392</v>
      </c>
      <c r="Q15" s="32"/>
      <c r="R15" s="31">
        <v>1</v>
      </c>
      <c r="S15" s="32">
        <f t="shared" si="3"/>
        <v>392</v>
      </c>
      <c r="T15" s="32">
        <f t="shared" si="4"/>
        <v>524.55999999999995</v>
      </c>
      <c r="U15" s="33">
        <f t="shared" si="0"/>
        <v>0.83191000000000004</v>
      </c>
      <c r="V15" s="34"/>
      <c r="W15" s="35"/>
    </row>
    <row r="16" spans="1:23" s="97" customFormat="1" ht="17.25" customHeight="1" x14ac:dyDescent="0.25">
      <c r="A16" s="197" t="s">
        <v>0</v>
      </c>
      <c r="B16" s="197"/>
      <c r="C16" s="148">
        <f>SUM(C9:C15)</f>
        <v>9643</v>
      </c>
      <c r="D16" s="148">
        <f>SUM(D9:D15)</f>
        <v>522000</v>
      </c>
      <c r="E16" s="144" t="s">
        <v>5</v>
      </c>
      <c r="F16" s="144" t="s">
        <v>5</v>
      </c>
      <c r="G16" s="143">
        <f>SUM(G9:G15)</f>
        <v>1291.01</v>
      </c>
      <c r="H16" s="143">
        <f>SUM(H9:H15)</f>
        <v>2211</v>
      </c>
      <c r="I16" s="143">
        <f>SUM(I9:I15)</f>
        <v>0</v>
      </c>
      <c r="J16" s="144" t="s">
        <v>5</v>
      </c>
      <c r="K16" s="143">
        <f>SUM(K9:K15)</f>
        <v>2211</v>
      </c>
      <c r="L16" s="143">
        <f>SUM(L9:L15)</f>
        <v>21756</v>
      </c>
      <c r="M16" s="144" t="s">
        <v>5</v>
      </c>
      <c r="N16" s="144" t="s">
        <v>5</v>
      </c>
      <c r="O16" s="143">
        <f>SUM(O9:O15)</f>
        <v>391</v>
      </c>
      <c r="P16" s="143">
        <f>SUM(P9:P15)</f>
        <v>2617</v>
      </c>
      <c r="Q16" s="143">
        <f>SUM(Q9:Q15)</f>
        <v>0</v>
      </c>
      <c r="R16" s="144" t="s">
        <v>5</v>
      </c>
      <c r="S16" s="143">
        <f>SUM(S9:S15)</f>
        <v>2617</v>
      </c>
      <c r="T16" s="143">
        <f>SUM(T9:T15)</f>
        <v>6510.01</v>
      </c>
      <c r="U16" s="149">
        <f t="shared" ref="U16" si="6">(T16/C16)/($T$16/$C$16)</f>
        <v>1</v>
      </c>
    </row>
    <row r="17" spans="1:19" s="25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5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5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5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</sheetData>
  <mergeCells count="28">
    <mergeCell ref="R5:R6"/>
    <mergeCell ref="T4:T6"/>
    <mergeCell ref="U4:U6"/>
    <mergeCell ref="A16:B16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65" firstPageNumber="163" fitToWidth="0" pageOrder="overThenDown" orientation="landscape" useFirstPageNumber="1" r:id="rId1"/>
  <headerFooter alignWithMargins="0">
    <oddFooter>&amp;C&amp;P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D1" activePane="topRight" state="frozenSplit"/>
      <selection activeCell="A4" sqref="A4"/>
      <selection pane="topRight" activeCell="B9" sqref="B9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18.5" style="1" customWidth="1"/>
    <col min="4" max="4" width="15" style="1" customWidth="1"/>
    <col min="5" max="5" width="16.6640625" style="1" customWidth="1"/>
    <col min="6" max="8" width="16.83203125" style="1" hidden="1" customWidth="1"/>
    <col min="9" max="9" width="24" style="1" hidden="1" customWidth="1"/>
    <col min="10" max="10" width="16.83203125" style="1" hidden="1" customWidth="1"/>
    <col min="11" max="12" width="24.1640625" style="1" hidden="1" customWidth="1"/>
    <col min="13" max="13" width="15.33203125" style="1" customWidth="1"/>
    <col min="14" max="14" width="45.6640625" style="1" customWidth="1"/>
    <col min="15" max="15" width="16.83203125" style="1" hidden="1" customWidth="1"/>
    <col min="16" max="16" width="18.1640625" style="1" hidden="1" customWidth="1"/>
    <col min="17" max="23" width="16.83203125" style="1" customWidth="1"/>
    <col min="24" max="24" width="16.6640625" style="1" customWidth="1"/>
    <col min="25" max="25" width="16.83203125" style="1" hidden="1" customWidth="1"/>
    <col min="26" max="26" width="17.83203125" style="1" hidden="1" customWidth="1"/>
    <col min="27" max="27" width="14.83203125" style="1" hidden="1" customWidth="1"/>
    <col min="28" max="28" width="16.1640625" style="1" hidden="1" customWidth="1"/>
    <col min="29" max="29" width="16.5" style="1" customWidth="1"/>
    <col min="30" max="30" width="16.6640625" style="1" customWidth="1"/>
    <col min="31" max="31" width="15.5" style="1" hidden="1" customWidth="1"/>
    <col min="32" max="32" width="12.1640625" style="1" hidden="1" customWidth="1"/>
    <col min="33" max="33" width="0.33203125" style="1" hidden="1" customWidth="1"/>
    <col min="34" max="34" width="18.1640625" style="1" hidden="1" customWidth="1"/>
    <col min="35" max="35" width="18.83203125" style="1" hidden="1" customWidth="1"/>
    <col min="36" max="36" width="0.1640625" style="1" hidden="1" customWidth="1"/>
    <col min="37" max="37" width="18.1640625" style="1" hidden="1" customWidth="1"/>
    <col min="38" max="38" width="21" style="1" hidden="1" customWidth="1"/>
    <col min="39" max="39" width="17.6640625" style="1" customWidth="1"/>
    <col min="40" max="40" width="12.664062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3.664062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174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7</v>
      </c>
      <c r="B3" s="42"/>
      <c r="C3" s="43"/>
      <c r="D3" s="43"/>
      <c r="E3" s="124">
        <v>1</v>
      </c>
      <c r="F3" s="43"/>
      <c r="G3" s="43"/>
      <c r="H3" s="43"/>
      <c r="I3" s="124">
        <f>E3+1</f>
        <v>2</v>
      </c>
      <c r="J3" s="42"/>
      <c r="K3" s="42"/>
      <c r="L3" s="124">
        <f>I3+1</f>
        <v>3</v>
      </c>
      <c r="M3" s="43"/>
      <c r="N3" s="124">
        <v>2</v>
      </c>
      <c r="O3" s="43"/>
      <c r="P3" s="124">
        <f>N3+1</f>
        <v>3</v>
      </c>
      <c r="Q3" s="43"/>
      <c r="R3" s="124">
        <v>3</v>
      </c>
      <c r="S3" s="43"/>
      <c r="T3" s="124">
        <f>R3+1</f>
        <v>4</v>
      </c>
      <c r="U3" s="43"/>
      <c r="V3" s="124">
        <f>T3+1</f>
        <v>5</v>
      </c>
      <c r="W3" s="43"/>
      <c r="X3" s="124">
        <f>V3+1</f>
        <v>6</v>
      </c>
      <c r="Y3" s="43"/>
      <c r="Z3" s="124">
        <f>X3+1</f>
        <v>7</v>
      </c>
      <c r="AA3" s="43"/>
      <c r="AB3" s="124">
        <f>Z3+1</f>
        <v>8</v>
      </c>
      <c r="AC3" s="43"/>
      <c r="AD3" s="124">
        <v>7</v>
      </c>
      <c r="AE3" s="124">
        <f>AD3+1</f>
        <v>8</v>
      </c>
      <c r="AF3" s="124">
        <f>AE3+1</f>
        <v>9</v>
      </c>
      <c r="AG3" s="43"/>
      <c r="AH3" s="43"/>
      <c r="AI3" s="124">
        <f>AF3+1</f>
        <v>10</v>
      </c>
      <c r="AJ3" s="43"/>
      <c r="AK3" s="43"/>
      <c r="AL3" s="124">
        <f>AI3+1</f>
        <v>11</v>
      </c>
      <c r="AM3" s="44"/>
      <c r="AN3" s="44"/>
      <c r="AO3" s="124">
        <v>8</v>
      </c>
    </row>
    <row r="4" spans="1:46" ht="13.15" customHeight="1" x14ac:dyDescent="0.2">
      <c r="A4" s="187" t="s">
        <v>1</v>
      </c>
      <c r="B4" s="187" t="s">
        <v>2</v>
      </c>
      <c r="C4" s="201" t="s">
        <v>172</v>
      </c>
      <c r="D4" s="188" t="s">
        <v>130</v>
      </c>
      <c r="E4" s="201" t="s">
        <v>102</v>
      </c>
      <c r="F4" s="188" t="s">
        <v>103</v>
      </c>
      <c r="G4" s="188" t="s">
        <v>105</v>
      </c>
      <c r="H4" s="188" t="s">
        <v>131</v>
      </c>
      <c r="I4" s="201" t="s">
        <v>104</v>
      </c>
      <c r="J4" s="188" t="s">
        <v>106</v>
      </c>
      <c r="K4" s="188" t="s">
        <v>132</v>
      </c>
      <c r="L4" s="201" t="s">
        <v>108</v>
      </c>
      <c r="M4" s="188" t="s">
        <v>130</v>
      </c>
      <c r="N4" s="201" t="s">
        <v>88</v>
      </c>
      <c r="O4" s="188" t="s">
        <v>130</v>
      </c>
      <c r="P4" s="201" t="s">
        <v>107</v>
      </c>
      <c r="Q4" s="188" t="s">
        <v>130</v>
      </c>
      <c r="R4" s="201" t="s">
        <v>109</v>
      </c>
      <c r="S4" s="188" t="s">
        <v>130</v>
      </c>
      <c r="T4" s="201" t="s">
        <v>55</v>
      </c>
      <c r="U4" s="188" t="s">
        <v>130</v>
      </c>
      <c r="V4" s="201" t="s">
        <v>56</v>
      </c>
      <c r="W4" s="188" t="s">
        <v>130</v>
      </c>
      <c r="X4" s="203" t="s">
        <v>139</v>
      </c>
      <c r="Y4" s="188" t="s">
        <v>130</v>
      </c>
      <c r="Z4" s="201" t="s">
        <v>110</v>
      </c>
      <c r="AA4" s="188" t="s">
        <v>130</v>
      </c>
      <c r="AB4" s="201" t="s">
        <v>111</v>
      </c>
      <c r="AC4" s="188" t="s">
        <v>130</v>
      </c>
      <c r="AD4" s="201" t="s">
        <v>112</v>
      </c>
      <c r="AE4" s="201" t="s">
        <v>113</v>
      </c>
      <c r="AF4" s="201" t="s">
        <v>114</v>
      </c>
      <c r="AG4" s="188" t="s">
        <v>116</v>
      </c>
      <c r="AH4" s="188" t="s">
        <v>133</v>
      </c>
      <c r="AI4" s="201" t="s">
        <v>115</v>
      </c>
      <c r="AJ4" s="188" t="s">
        <v>120</v>
      </c>
      <c r="AK4" s="188" t="s">
        <v>57</v>
      </c>
      <c r="AL4" s="201" t="s">
        <v>117</v>
      </c>
      <c r="AM4" s="188" t="s">
        <v>119</v>
      </c>
      <c r="AN4" s="188" t="s">
        <v>134</v>
      </c>
      <c r="AO4" s="201" t="s">
        <v>118</v>
      </c>
      <c r="AP4" s="201" t="s">
        <v>58</v>
      </c>
      <c r="AQ4" s="201" t="s">
        <v>8</v>
      </c>
      <c r="AR4" s="201" t="s">
        <v>25</v>
      </c>
    </row>
    <row r="5" spans="1:46" ht="13.15" customHeight="1" x14ac:dyDescent="0.2">
      <c r="A5" s="187"/>
      <c r="B5" s="202"/>
      <c r="C5" s="201"/>
      <c r="D5" s="188"/>
      <c r="E5" s="201"/>
      <c r="F5" s="188"/>
      <c r="G5" s="188"/>
      <c r="H5" s="188"/>
      <c r="I5" s="201"/>
      <c r="J5" s="188"/>
      <c r="K5" s="188"/>
      <c r="L5" s="201"/>
      <c r="M5" s="188"/>
      <c r="N5" s="201"/>
      <c r="O5" s="188"/>
      <c r="P5" s="201"/>
      <c r="Q5" s="188"/>
      <c r="R5" s="201"/>
      <c r="S5" s="188"/>
      <c r="T5" s="201"/>
      <c r="U5" s="188"/>
      <c r="V5" s="201"/>
      <c r="W5" s="188"/>
      <c r="X5" s="204"/>
      <c r="Y5" s="188"/>
      <c r="Z5" s="201"/>
      <c r="AA5" s="188"/>
      <c r="AB5" s="201"/>
      <c r="AC5" s="188"/>
      <c r="AD5" s="201"/>
      <c r="AE5" s="201"/>
      <c r="AF5" s="201"/>
      <c r="AG5" s="188"/>
      <c r="AH5" s="188"/>
      <c r="AI5" s="201"/>
      <c r="AJ5" s="188"/>
      <c r="AK5" s="188"/>
      <c r="AL5" s="201"/>
      <c r="AM5" s="188"/>
      <c r="AN5" s="188"/>
      <c r="AO5" s="201"/>
      <c r="AP5" s="201"/>
      <c r="AQ5" s="201"/>
      <c r="AR5" s="201"/>
    </row>
    <row r="6" spans="1:46" ht="152.25" customHeight="1" x14ac:dyDescent="0.2">
      <c r="A6" s="187"/>
      <c r="B6" s="187"/>
      <c r="C6" s="201"/>
      <c r="D6" s="188"/>
      <c r="E6" s="201"/>
      <c r="F6" s="188"/>
      <c r="G6" s="188"/>
      <c r="H6" s="188"/>
      <c r="I6" s="201"/>
      <c r="J6" s="188"/>
      <c r="K6" s="188"/>
      <c r="L6" s="201"/>
      <c r="M6" s="188"/>
      <c r="N6" s="201"/>
      <c r="O6" s="188"/>
      <c r="P6" s="201"/>
      <c r="Q6" s="188"/>
      <c r="R6" s="201"/>
      <c r="S6" s="188"/>
      <c r="T6" s="201"/>
      <c r="U6" s="188"/>
      <c r="V6" s="201"/>
      <c r="W6" s="188"/>
      <c r="X6" s="205"/>
      <c r="Y6" s="188"/>
      <c r="Z6" s="201"/>
      <c r="AA6" s="188"/>
      <c r="AB6" s="201"/>
      <c r="AC6" s="188"/>
      <c r="AD6" s="201"/>
      <c r="AE6" s="201"/>
      <c r="AF6" s="201"/>
      <c r="AG6" s="188"/>
      <c r="AH6" s="188"/>
      <c r="AI6" s="201"/>
      <c r="AJ6" s="188"/>
      <c r="AK6" s="188"/>
      <c r="AL6" s="201"/>
      <c r="AM6" s="188"/>
      <c r="AN6" s="188"/>
      <c r="AO6" s="201"/>
      <c r="AP6" s="201"/>
      <c r="AQ6" s="201"/>
      <c r="AR6" s="201"/>
      <c r="AT6" s="7"/>
    </row>
    <row r="7" spans="1:46" x14ac:dyDescent="0.2">
      <c r="A7" s="207" t="s">
        <v>59</v>
      </c>
      <c r="B7" s="208"/>
      <c r="C7" s="151">
        <v>1</v>
      </c>
      <c r="D7" s="151">
        <v>2</v>
      </c>
      <c r="E7" s="151" t="s">
        <v>121</v>
      </c>
      <c r="F7" s="151" t="s">
        <v>122</v>
      </c>
      <c r="G7" s="133" t="s">
        <v>123</v>
      </c>
      <c r="H7" s="151">
        <v>6</v>
      </c>
      <c r="I7" s="151" t="s">
        <v>135</v>
      </c>
      <c r="J7" s="151">
        <v>8</v>
      </c>
      <c r="K7" s="151">
        <v>9</v>
      </c>
      <c r="L7" s="151" t="s">
        <v>124</v>
      </c>
      <c r="M7" s="151">
        <v>4</v>
      </c>
      <c r="N7" s="151" t="s">
        <v>140</v>
      </c>
      <c r="O7" s="151">
        <v>13</v>
      </c>
      <c r="P7" s="151" t="s">
        <v>125</v>
      </c>
      <c r="Q7" s="151">
        <v>6</v>
      </c>
      <c r="R7" s="151" t="s">
        <v>141</v>
      </c>
      <c r="S7" s="151">
        <v>8</v>
      </c>
      <c r="T7" s="151" t="s">
        <v>142</v>
      </c>
      <c r="U7" s="151">
        <v>10</v>
      </c>
      <c r="V7" s="151" t="s">
        <v>143</v>
      </c>
      <c r="W7" s="151">
        <v>12</v>
      </c>
      <c r="X7" s="151" t="s">
        <v>144</v>
      </c>
      <c r="Y7" s="151">
        <v>23</v>
      </c>
      <c r="Z7" s="151" t="s">
        <v>126</v>
      </c>
      <c r="AA7" s="151">
        <v>25</v>
      </c>
      <c r="AB7" s="151" t="s">
        <v>127</v>
      </c>
      <c r="AC7" s="151">
        <v>14</v>
      </c>
      <c r="AD7" s="151" t="s">
        <v>145</v>
      </c>
      <c r="AE7" s="151">
        <v>29</v>
      </c>
      <c r="AF7" s="151">
        <v>30</v>
      </c>
      <c r="AG7" s="151">
        <v>31</v>
      </c>
      <c r="AH7" s="151">
        <v>32</v>
      </c>
      <c r="AI7" s="151" t="s">
        <v>128</v>
      </c>
      <c r="AJ7" s="151">
        <v>34</v>
      </c>
      <c r="AK7" s="151">
        <v>35</v>
      </c>
      <c r="AL7" s="151" t="s">
        <v>129</v>
      </c>
      <c r="AM7" s="151">
        <v>16</v>
      </c>
      <c r="AN7" s="151">
        <v>17</v>
      </c>
      <c r="AO7" s="151" t="s">
        <v>146</v>
      </c>
      <c r="AP7" s="151" t="s">
        <v>147</v>
      </c>
      <c r="AQ7" s="151" t="s">
        <v>148</v>
      </c>
      <c r="AR7" s="134" t="s">
        <v>149</v>
      </c>
    </row>
    <row r="8" spans="1:46" ht="13.5" x14ac:dyDescent="0.25">
      <c r="A8" s="206"/>
      <c r="B8" s="206"/>
      <c r="C8" s="135" t="s">
        <v>29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1"/>
      <c r="AO8" s="137"/>
      <c r="AP8" s="138"/>
      <c r="AQ8" s="138"/>
      <c r="AR8" s="139" t="s">
        <v>6</v>
      </c>
    </row>
    <row r="9" spans="1:46" s="128" customFormat="1" ht="16.5" x14ac:dyDescent="0.25">
      <c r="A9" s="104">
        <v>1</v>
      </c>
      <c r="B9" s="18" t="s">
        <v>162</v>
      </c>
      <c r="C9" s="130">
        <v>3171</v>
      </c>
      <c r="D9" s="156">
        <v>0</v>
      </c>
      <c r="E9" s="157">
        <f>C9*D9</f>
        <v>0</v>
      </c>
      <c r="F9" s="154"/>
      <c r="G9" s="154"/>
      <c r="H9" s="154"/>
      <c r="I9" s="153">
        <f>G9*H9/1000*1%</f>
        <v>0</v>
      </c>
      <c r="J9" s="155"/>
      <c r="K9" s="155"/>
      <c r="L9" s="153">
        <f>J9*K9</f>
        <v>0</v>
      </c>
      <c r="M9" s="156">
        <v>5.9700000000000003E-2</v>
      </c>
      <c r="N9" s="157">
        <f>C9*M9</f>
        <v>189.30870000000002</v>
      </c>
      <c r="O9" s="152"/>
      <c r="P9" s="153"/>
      <c r="Q9" s="156">
        <v>0.66700000000000004</v>
      </c>
      <c r="R9" s="157">
        <f>C9*Q9</f>
        <v>2115.0570000000002</v>
      </c>
      <c r="S9" s="156">
        <v>3.5000000000000001E-3</v>
      </c>
      <c r="T9" s="157">
        <f>C9*S9</f>
        <v>11.0985</v>
      </c>
      <c r="U9" s="156">
        <v>2.8E-3</v>
      </c>
      <c r="V9" s="157">
        <f>C9*U9</f>
        <v>8.8788</v>
      </c>
      <c r="W9" s="156">
        <v>0.32300000000000001</v>
      </c>
      <c r="X9" s="157">
        <f>C9*W9</f>
        <v>1024.2329999999999</v>
      </c>
      <c r="Y9" s="152"/>
      <c r="Z9" s="153">
        <f>C9*Y9</f>
        <v>0</v>
      </c>
      <c r="AA9" s="152"/>
      <c r="AB9" s="153">
        <f>C9*AA9</f>
        <v>0</v>
      </c>
      <c r="AC9" s="156">
        <v>3.0500000000000002E-3</v>
      </c>
      <c r="AD9" s="157">
        <f t="shared" ref="AD9:AD19" si="0">C9*AC9</f>
        <v>9.6715499999999999</v>
      </c>
      <c r="AE9" s="153"/>
      <c r="AF9" s="153"/>
      <c r="AG9" s="160"/>
      <c r="AH9" s="156"/>
      <c r="AI9" s="157">
        <f>AG9*AH9</f>
        <v>0</v>
      </c>
      <c r="AJ9" s="160"/>
      <c r="AK9" s="156"/>
      <c r="AL9" s="157">
        <f>AJ9*AK9</f>
        <v>0</v>
      </c>
      <c r="AM9" s="161">
        <v>2271.29</v>
      </c>
      <c r="AN9" s="162">
        <v>6.05</v>
      </c>
      <c r="AO9" s="157">
        <f>AM9*AN9*12/1000</f>
        <v>164.89565400000001</v>
      </c>
      <c r="AP9" s="58">
        <f>E9+I9+L9+N9+P9+R9+T9+V9+X9+Z9+AB9+AD9+AE9+AF9+AI9+AL9+AO9</f>
        <v>3523.143204</v>
      </c>
      <c r="AQ9" s="141">
        <f t="shared" ref="AQ9:AQ19" si="1">AP9/C9</f>
        <v>1.1110511523178808</v>
      </c>
      <c r="AR9" s="142">
        <f t="shared" ref="AR9:AR19" si="2">ROUND((AP9/C9)/($AP$20/$C$20),5)</f>
        <v>0.99546999999999997</v>
      </c>
      <c r="AS9" s="127"/>
    </row>
    <row r="10" spans="1:46" s="128" customFormat="1" ht="16.5" x14ac:dyDescent="0.25">
      <c r="A10" s="105">
        <v>2</v>
      </c>
      <c r="B10" s="18" t="s">
        <v>163</v>
      </c>
      <c r="C10" s="130">
        <v>715</v>
      </c>
      <c r="D10" s="156">
        <v>0.63600000000000001</v>
      </c>
      <c r="E10" s="157">
        <f t="shared" ref="E10:E19" si="3">C10*D10</f>
        <v>454.74</v>
      </c>
      <c r="F10" s="154"/>
      <c r="G10" s="154"/>
      <c r="H10" s="154"/>
      <c r="I10" s="153">
        <f t="shared" ref="I10:I19" si="4">G10*H10/1000*1%</f>
        <v>0</v>
      </c>
      <c r="J10" s="155"/>
      <c r="K10" s="155"/>
      <c r="L10" s="153">
        <f t="shared" ref="L10:L19" si="5">J10*K10</f>
        <v>0</v>
      </c>
      <c r="M10" s="156">
        <v>0.10100000000000001</v>
      </c>
      <c r="N10" s="157">
        <f t="shared" ref="N10:N19" si="6">C10*M10</f>
        <v>72.215000000000003</v>
      </c>
      <c r="O10" s="152"/>
      <c r="P10" s="153"/>
      <c r="Q10" s="156">
        <v>0.28100000000000003</v>
      </c>
      <c r="R10" s="157">
        <f t="shared" ref="R10:R19" si="7">C10*Q10</f>
        <v>200.91500000000002</v>
      </c>
      <c r="S10" s="156">
        <v>3.5000000000000001E-3</v>
      </c>
      <c r="T10" s="157">
        <f t="shared" ref="T10:T19" si="8">C10*S10</f>
        <v>2.5024999999999999</v>
      </c>
      <c r="U10" s="156">
        <v>2.8E-3</v>
      </c>
      <c r="V10" s="157">
        <f t="shared" ref="V10:V19" si="9">C10*U10</f>
        <v>2.0019999999999998</v>
      </c>
      <c r="W10" s="156">
        <v>0.113</v>
      </c>
      <c r="X10" s="157">
        <f t="shared" ref="X10:X19" si="10">C10*W10</f>
        <v>80.795000000000002</v>
      </c>
      <c r="Y10" s="152"/>
      <c r="Z10" s="153">
        <f t="shared" ref="Z10:Z19" si="11">C10*Y10</f>
        <v>0</v>
      </c>
      <c r="AA10" s="152"/>
      <c r="AB10" s="153">
        <f t="shared" ref="AB10:AB19" si="12">C10*AA10</f>
        <v>0</v>
      </c>
      <c r="AC10" s="156">
        <v>3.0500000000000002E-3</v>
      </c>
      <c r="AD10" s="157">
        <f t="shared" si="0"/>
        <v>2.1807500000000002</v>
      </c>
      <c r="AE10" s="153"/>
      <c r="AF10" s="153"/>
      <c r="AG10" s="160"/>
      <c r="AH10" s="156"/>
      <c r="AI10" s="157">
        <f t="shared" ref="AI10:AI19" si="13">AG10*AH10</f>
        <v>0</v>
      </c>
      <c r="AJ10" s="160"/>
      <c r="AK10" s="156"/>
      <c r="AL10" s="157">
        <f t="shared" ref="AL10:AL19" si="14">AJ10*AK10</f>
        <v>0</v>
      </c>
      <c r="AM10" s="161"/>
      <c r="AN10" s="161"/>
      <c r="AO10" s="157">
        <f t="shared" ref="AO10:AO19" si="15">AM10*AN10*12/1000</f>
        <v>0</v>
      </c>
      <c r="AP10" s="58">
        <f t="shared" ref="AP10:AP19" si="16">E10+I10+L10+N10+P10+R10+T10+V10+X10+Z10+AB10+AD10+AE10+AF10+AI10+AL10+AO10</f>
        <v>815.35025000000007</v>
      </c>
      <c r="AQ10" s="141">
        <f t="shared" si="1"/>
        <v>1.1403500000000002</v>
      </c>
      <c r="AR10" s="142">
        <f t="shared" si="2"/>
        <v>1.02172</v>
      </c>
      <c r="AS10" s="127"/>
    </row>
    <row r="11" spans="1:46" s="128" customFormat="1" ht="16.5" x14ac:dyDescent="0.25">
      <c r="A11" s="105">
        <v>3</v>
      </c>
      <c r="B11" s="18" t="s">
        <v>164</v>
      </c>
      <c r="C11" s="130">
        <v>1555</v>
      </c>
      <c r="D11" s="156">
        <v>0.60699999999999998</v>
      </c>
      <c r="E11" s="157">
        <f t="shared" si="3"/>
        <v>943.88499999999999</v>
      </c>
      <c r="F11" s="154"/>
      <c r="G11" s="154"/>
      <c r="H11" s="154"/>
      <c r="I11" s="153">
        <f t="shared" si="4"/>
        <v>0</v>
      </c>
      <c r="J11" s="155"/>
      <c r="K11" s="155"/>
      <c r="L11" s="153">
        <f t="shared" si="5"/>
        <v>0</v>
      </c>
      <c r="M11" s="156">
        <v>0.10100000000000001</v>
      </c>
      <c r="N11" s="157">
        <f t="shared" si="6"/>
        <v>157.05500000000001</v>
      </c>
      <c r="O11" s="152"/>
      <c r="P11" s="153"/>
      <c r="Q11" s="156">
        <v>0.28100000000000003</v>
      </c>
      <c r="R11" s="157">
        <f t="shared" si="7"/>
        <v>436.95500000000004</v>
      </c>
      <c r="S11" s="156">
        <v>3.5000000000000001E-3</v>
      </c>
      <c r="T11" s="157">
        <f t="shared" si="8"/>
        <v>5.4424999999999999</v>
      </c>
      <c r="U11" s="156">
        <v>2.8E-3</v>
      </c>
      <c r="V11" s="157">
        <f t="shared" si="9"/>
        <v>4.3540000000000001</v>
      </c>
      <c r="W11" s="156">
        <v>0.113</v>
      </c>
      <c r="X11" s="157">
        <f t="shared" si="10"/>
        <v>175.715</v>
      </c>
      <c r="Y11" s="152"/>
      <c r="Z11" s="153">
        <f t="shared" si="11"/>
        <v>0</v>
      </c>
      <c r="AA11" s="152"/>
      <c r="AB11" s="153">
        <f t="shared" si="12"/>
        <v>0</v>
      </c>
      <c r="AC11" s="156">
        <v>3.0500000000000002E-3</v>
      </c>
      <c r="AD11" s="157">
        <f t="shared" si="0"/>
        <v>4.74275</v>
      </c>
      <c r="AE11" s="153"/>
      <c r="AF11" s="153"/>
      <c r="AG11" s="160"/>
      <c r="AH11" s="156"/>
      <c r="AI11" s="157">
        <f t="shared" si="13"/>
        <v>0</v>
      </c>
      <c r="AJ11" s="160"/>
      <c r="AK11" s="156"/>
      <c r="AL11" s="157">
        <f t="shared" si="14"/>
        <v>0</v>
      </c>
      <c r="AM11" s="161"/>
      <c r="AN11" s="161"/>
      <c r="AO11" s="157">
        <f t="shared" si="15"/>
        <v>0</v>
      </c>
      <c r="AP11" s="58">
        <f t="shared" si="16"/>
        <v>1728.1492499999999</v>
      </c>
      <c r="AQ11" s="141">
        <f t="shared" si="1"/>
        <v>1.1113500000000001</v>
      </c>
      <c r="AR11" s="142">
        <f t="shared" si="2"/>
        <v>0.99573999999999996</v>
      </c>
      <c r="AS11" s="127"/>
    </row>
    <row r="12" spans="1:46" s="128" customFormat="1" ht="16.5" x14ac:dyDescent="0.25">
      <c r="A12" s="104">
        <v>4</v>
      </c>
      <c r="B12" s="18" t="s">
        <v>165</v>
      </c>
      <c r="C12" s="130">
        <v>923</v>
      </c>
      <c r="D12" s="156">
        <v>0.60699999999999998</v>
      </c>
      <c r="E12" s="157">
        <f t="shared" si="3"/>
        <v>560.26099999999997</v>
      </c>
      <c r="F12" s="154"/>
      <c r="G12" s="154"/>
      <c r="H12" s="154"/>
      <c r="I12" s="153">
        <f t="shared" si="4"/>
        <v>0</v>
      </c>
      <c r="J12" s="155"/>
      <c r="K12" s="155"/>
      <c r="L12" s="153">
        <f t="shared" si="5"/>
        <v>0</v>
      </c>
      <c r="M12" s="156">
        <v>0.10100000000000001</v>
      </c>
      <c r="N12" s="157">
        <f t="shared" si="6"/>
        <v>93.222999999999999</v>
      </c>
      <c r="O12" s="152"/>
      <c r="P12" s="153"/>
      <c r="Q12" s="156">
        <v>0.28100000000000003</v>
      </c>
      <c r="R12" s="157">
        <f>C12*Q12</f>
        <v>259.363</v>
      </c>
      <c r="S12" s="156">
        <v>3.5000000000000001E-3</v>
      </c>
      <c r="T12" s="157">
        <f t="shared" si="8"/>
        <v>3.2305000000000001</v>
      </c>
      <c r="U12" s="156">
        <v>2.8E-3</v>
      </c>
      <c r="V12" s="157">
        <f t="shared" si="9"/>
        <v>2.5844</v>
      </c>
      <c r="W12" s="156">
        <v>0.113</v>
      </c>
      <c r="X12" s="157">
        <f t="shared" si="10"/>
        <v>104.29900000000001</v>
      </c>
      <c r="Y12" s="152"/>
      <c r="Z12" s="153">
        <f t="shared" si="11"/>
        <v>0</v>
      </c>
      <c r="AA12" s="152"/>
      <c r="AB12" s="153">
        <f t="shared" si="12"/>
        <v>0</v>
      </c>
      <c r="AC12" s="156">
        <v>3.0500000000000002E-3</v>
      </c>
      <c r="AD12" s="157">
        <f t="shared" si="0"/>
        <v>2.81515</v>
      </c>
      <c r="AE12" s="153"/>
      <c r="AF12" s="153"/>
      <c r="AG12" s="160"/>
      <c r="AH12" s="156"/>
      <c r="AI12" s="157">
        <f t="shared" si="13"/>
        <v>0</v>
      </c>
      <c r="AJ12" s="160"/>
      <c r="AK12" s="156"/>
      <c r="AL12" s="157">
        <f t="shared" si="14"/>
        <v>0</v>
      </c>
      <c r="AM12" s="161"/>
      <c r="AN12" s="161"/>
      <c r="AO12" s="157">
        <f t="shared" si="15"/>
        <v>0</v>
      </c>
      <c r="AP12" s="58">
        <f t="shared" si="16"/>
        <v>1025.7760499999999</v>
      </c>
      <c r="AQ12" s="141">
        <f t="shared" si="1"/>
        <v>1.1113499999999998</v>
      </c>
      <c r="AR12" s="142">
        <f t="shared" si="2"/>
        <v>0.99573999999999996</v>
      </c>
      <c r="AS12" s="127"/>
    </row>
    <row r="13" spans="1:46" s="128" customFormat="1" ht="16.5" x14ac:dyDescent="0.25">
      <c r="A13" s="105">
        <v>5</v>
      </c>
      <c r="B13" s="18" t="s">
        <v>166</v>
      </c>
      <c r="C13" s="130">
        <v>899</v>
      </c>
      <c r="D13" s="156">
        <v>0.63600000000000001</v>
      </c>
      <c r="E13" s="157">
        <f t="shared" si="3"/>
        <v>571.76400000000001</v>
      </c>
      <c r="F13" s="154"/>
      <c r="G13" s="154"/>
      <c r="H13" s="154"/>
      <c r="I13" s="153">
        <f t="shared" si="4"/>
        <v>0</v>
      </c>
      <c r="J13" s="155"/>
      <c r="K13" s="155"/>
      <c r="L13" s="153">
        <f t="shared" si="5"/>
        <v>0</v>
      </c>
      <c r="M13" s="156">
        <v>0.10100000000000001</v>
      </c>
      <c r="N13" s="157">
        <f t="shared" si="6"/>
        <v>90.799000000000007</v>
      </c>
      <c r="O13" s="152"/>
      <c r="P13" s="153"/>
      <c r="Q13" s="156">
        <v>0.28100000000000003</v>
      </c>
      <c r="R13" s="157">
        <f t="shared" si="7"/>
        <v>252.61900000000003</v>
      </c>
      <c r="S13" s="156">
        <v>3.5000000000000001E-3</v>
      </c>
      <c r="T13" s="157">
        <f t="shared" si="8"/>
        <v>3.1465000000000001</v>
      </c>
      <c r="U13" s="156">
        <v>2.8E-3</v>
      </c>
      <c r="V13" s="157">
        <f t="shared" si="9"/>
        <v>2.5171999999999999</v>
      </c>
      <c r="W13" s="156">
        <v>0.113</v>
      </c>
      <c r="X13" s="157">
        <f t="shared" si="10"/>
        <v>101.587</v>
      </c>
      <c r="Y13" s="152"/>
      <c r="Z13" s="153">
        <f t="shared" si="11"/>
        <v>0</v>
      </c>
      <c r="AA13" s="152"/>
      <c r="AB13" s="153">
        <f t="shared" si="12"/>
        <v>0</v>
      </c>
      <c r="AC13" s="156">
        <v>3.0500000000000002E-3</v>
      </c>
      <c r="AD13" s="157">
        <f t="shared" si="0"/>
        <v>2.7419500000000001</v>
      </c>
      <c r="AE13" s="153"/>
      <c r="AF13" s="153"/>
      <c r="AG13" s="160"/>
      <c r="AH13" s="156"/>
      <c r="AI13" s="157">
        <f t="shared" si="13"/>
        <v>0</v>
      </c>
      <c r="AJ13" s="160"/>
      <c r="AK13" s="156"/>
      <c r="AL13" s="157">
        <f t="shared" si="14"/>
        <v>0</v>
      </c>
      <c r="AM13" s="161"/>
      <c r="AN13" s="161"/>
      <c r="AO13" s="157">
        <f t="shared" si="15"/>
        <v>0</v>
      </c>
      <c r="AP13" s="58">
        <f t="shared" si="16"/>
        <v>1025.1746499999999</v>
      </c>
      <c r="AQ13" s="141">
        <f t="shared" si="1"/>
        <v>1.14035</v>
      </c>
      <c r="AR13" s="142">
        <f t="shared" si="2"/>
        <v>1.02172</v>
      </c>
      <c r="AS13" s="127"/>
    </row>
    <row r="14" spans="1:46" s="128" customFormat="1" ht="16.5" x14ac:dyDescent="0.25">
      <c r="A14" s="105">
        <v>6</v>
      </c>
      <c r="B14" s="18" t="s">
        <v>167</v>
      </c>
      <c r="C14" s="130">
        <v>1446</v>
      </c>
      <c r="D14" s="156">
        <v>0.60699999999999998</v>
      </c>
      <c r="E14" s="157">
        <f t="shared" si="3"/>
        <v>877.72199999999998</v>
      </c>
      <c r="F14" s="154"/>
      <c r="G14" s="154"/>
      <c r="H14" s="154"/>
      <c r="I14" s="153">
        <f t="shared" si="4"/>
        <v>0</v>
      </c>
      <c r="J14" s="155"/>
      <c r="K14" s="155"/>
      <c r="L14" s="153">
        <f t="shared" si="5"/>
        <v>0</v>
      </c>
      <c r="M14" s="156">
        <v>0.10100000000000001</v>
      </c>
      <c r="N14" s="157">
        <f t="shared" si="6"/>
        <v>146.04600000000002</v>
      </c>
      <c r="O14" s="152"/>
      <c r="P14" s="153"/>
      <c r="Q14" s="156">
        <v>0.28100000000000003</v>
      </c>
      <c r="R14" s="157">
        <f t="shared" si="7"/>
        <v>406.32600000000002</v>
      </c>
      <c r="S14" s="156">
        <v>3.5000000000000001E-3</v>
      </c>
      <c r="T14" s="157">
        <f t="shared" si="8"/>
        <v>5.0609999999999999</v>
      </c>
      <c r="U14" s="156">
        <v>2.8E-3</v>
      </c>
      <c r="V14" s="157">
        <f t="shared" si="9"/>
        <v>4.0488</v>
      </c>
      <c r="W14" s="156">
        <v>0.113</v>
      </c>
      <c r="X14" s="157">
        <f t="shared" si="10"/>
        <v>163.398</v>
      </c>
      <c r="Y14" s="152"/>
      <c r="Z14" s="153">
        <f t="shared" si="11"/>
        <v>0</v>
      </c>
      <c r="AA14" s="152"/>
      <c r="AB14" s="153">
        <f t="shared" si="12"/>
        <v>0</v>
      </c>
      <c r="AC14" s="156">
        <v>3.0500000000000002E-3</v>
      </c>
      <c r="AD14" s="157">
        <f t="shared" si="0"/>
        <v>4.4103000000000003</v>
      </c>
      <c r="AE14" s="153"/>
      <c r="AF14" s="153"/>
      <c r="AG14" s="160"/>
      <c r="AH14" s="156"/>
      <c r="AI14" s="157">
        <f t="shared" si="13"/>
        <v>0</v>
      </c>
      <c r="AJ14" s="160"/>
      <c r="AK14" s="156"/>
      <c r="AL14" s="157">
        <f t="shared" si="14"/>
        <v>0</v>
      </c>
      <c r="AM14" s="161"/>
      <c r="AN14" s="161"/>
      <c r="AO14" s="157">
        <f t="shared" si="15"/>
        <v>0</v>
      </c>
      <c r="AP14" s="58">
        <f t="shared" si="16"/>
        <v>1607.0120999999999</v>
      </c>
      <c r="AQ14" s="141">
        <f t="shared" si="1"/>
        <v>1.1113499999999998</v>
      </c>
      <c r="AR14" s="142">
        <f t="shared" si="2"/>
        <v>0.99573999999999996</v>
      </c>
      <c r="AS14" s="127"/>
    </row>
    <row r="15" spans="1:46" s="128" customFormat="1" ht="16.5" x14ac:dyDescent="0.25">
      <c r="A15" s="104">
        <v>7</v>
      </c>
      <c r="B15" s="18" t="s">
        <v>168</v>
      </c>
      <c r="C15" s="130">
        <v>934</v>
      </c>
      <c r="D15" s="156">
        <v>0.60699999999999998</v>
      </c>
      <c r="E15" s="157">
        <f t="shared" si="3"/>
        <v>566.93799999999999</v>
      </c>
      <c r="F15" s="154"/>
      <c r="G15" s="154"/>
      <c r="H15" s="154"/>
      <c r="I15" s="153">
        <f t="shared" si="4"/>
        <v>0</v>
      </c>
      <c r="J15" s="155"/>
      <c r="K15" s="155"/>
      <c r="L15" s="153">
        <f t="shared" si="5"/>
        <v>0</v>
      </c>
      <c r="M15" s="156">
        <v>0.10100000000000001</v>
      </c>
      <c r="N15" s="157">
        <f t="shared" si="6"/>
        <v>94.334000000000003</v>
      </c>
      <c r="O15" s="152"/>
      <c r="P15" s="153"/>
      <c r="Q15" s="156">
        <v>0.28100000000000003</v>
      </c>
      <c r="R15" s="157">
        <f t="shared" si="7"/>
        <v>262.45400000000001</v>
      </c>
      <c r="S15" s="156">
        <v>3.5000000000000001E-3</v>
      </c>
      <c r="T15" s="157">
        <f t="shared" si="8"/>
        <v>3.2690000000000001</v>
      </c>
      <c r="U15" s="156">
        <v>2.8E-3</v>
      </c>
      <c r="V15" s="157">
        <f t="shared" si="9"/>
        <v>2.6152000000000002</v>
      </c>
      <c r="W15" s="156">
        <v>0.113</v>
      </c>
      <c r="X15" s="157">
        <f t="shared" si="10"/>
        <v>105.542</v>
      </c>
      <c r="Y15" s="152"/>
      <c r="Z15" s="153">
        <f t="shared" si="11"/>
        <v>0</v>
      </c>
      <c r="AA15" s="152"/>
      <c r="AB15" s="153">
        <f t="shared" si="12"/>
        <v>0</v>
      </c>
      <c r="AC15" s="156">
        <v>3.0500000000000002E-3</v>
      </c>
      <c r="AD15" s="157">
        <f t="shared" si="0"/>
        <v>2.8487</v>
      </c>
      <c r="AE15" s="153"/>
      <c r="AF15" s="153"/>
      <c r="AG15" s="160"/>
      <c r="AH15" s="156"/>
      <c r="AI15" s="157">
        <f t="shared" si="13"/>
        <v>0</v>
      </c>
      <c r="AJ15" s="160"/>
      <c r="AK15" s="156"/>
      <c r="AL15" s="157">
        <f t="shared" si="14"/>
        <v>0</v>
      </c>
      <c r="AM15" s="161"/>
      <c r="AN15" s="161"/>
      <c r="AO15" s="157">
        <f t="shared" si="15"/>
        <v>0</v>
      </c>
      <c r="AP15" s="58">
        <f t="shared" si="16"/>
        <v>1038.0008999999998</v>
      </c>
      <c r="AQ15" s="141">
        <f t="shared" si="1"/>
        <v>1.1113499999999998</v>
      </c>
      <c r="AR15" s="142">
        <f t="shared" si="2"/>
        <v>0.99573999999999996</v>
      </c>
      <c r="AS15" s="127"/>
    </row>
    <row r="16" spans="1:46" s="128" customFormat="1" ht="0.75" customHeight="1" x14ac:dyDescent="0.25">
      <c r="A16" s="63">
        <v>8</v>
      </c>
      <c r="B16" s="18" t="s">
        <v>33</v>
      </c>
      <c r="C16" s="140"/>
      <c r="D16" s="156">
        <v>0.64</v>
      </c>
      <c r="E16" s="56">
        <f t="shared" si="3"/>
        <v>0</v>
      </c>
      <c r="F16" s="67">
        <f t="shared" ref="F16:F19" si="17">ROUND(C16*5%,0)</f>
        <v>0</v>
      </c>
      <c r="G16" s="67">
        <f t="shared" ref="G16:G19" si="18">F16*18</f>
        <v>0</v>
      </c>
      <c r="H16" s="67"/>
      <c r="I16" s="56">
        <f t="shared" si="4"/>
        <v>0</v>
      </c>
      <c r="J16" s="129"/>
      <c r="K16" s="129"/>
      <c r="L16" s="56">
        <f t="shared" si="5"/>
        <v>0</v>
      </c>
      <c r="M16" s="75"/>
      <c r="N16" s="56">
        <f t="shared" si="6"/>
        <v>0</v>
      </c>
      <c r="O16" s="75"/>
      <c r="P16" s="56">
        <f t="shared" ref="P16:P19" si="19">C16*O16</f>
        <v>0</v>
      </c>
      <c r="Q16" s="156"/>
      <c r="R16" s="157">
        <f t="shared" si="7"/>
        <v>0</v>
      </c>
      <c r="S16" s="75"/>
      <c r="T16" s="56">
        <f t="shared" si="8"/>
        <v>0</v>
      </c>
      <c r="U16" s="75"/>
      <c r="V16" s="56">
        <f t="shared" si="9"/>
        <v>0</v>
      </c>
      <c r="W16" s="75"/>
      <c r="X16" s="56">
        <f t="shared" si="10"/>
        <v>0</v>
      </c>
      <c r="Y16" s="75"/>
      <c r="Z16" s="56">
        <f t="shared" si="11"/>
        <v>0</v>
      </c>
      <c r="AA16" s="75"/>
      <c r="AB16" s="56">
        <f t="shared" si="12"/>
        <v>0</v>
      </c>
      <c r="AC16" s="75"/>
      <c r="AD16" s="56">
        <f t="shared" si="0"/>
        <v>0</v>
      </c>
      <c r="AE16" s="56"/>
      <c r="AF16" s="56"/>
      <c r="AG16" s="67"/>
      <c r="AH16" s="75"/>
      <c r="AI16" s="56">
        <f t="shared" si="13"/>
        <v>0</v>
      </c>
      <c r="AJ16" s="67"/>
      <c r="AK16" s="75"/>
      <c r="AL16" s="56">
        <f t="shared" si="14"/>
        <v>0</v>
      </c>
      <c r="AM16" s="61"/>
      <c r="AN16" s="61"/>
      <c r="AO16" s="56">
        <f t="shared" si="15"/>
        <v>0</v>
      </c>
      <c r="AP16" s="58">
        <f t="shared" si="16"/>
        <v>0</v>
      </c>
      <c r="AQ16" s="141" t="e">
        <f t="shared" si="1"/>
        <v>#DIV/0!</v>
      </c>
      <c r="AR16" s="142" t="e">
        <f t="shared" si="2"/>
        <v>#DIV/0!</v>
      </c>
      <c r="AS16" s="127"/>
    </row>
    <row r="17" spans="1:45" s="128" customFormat="1" ht="15.75" hidden="1" x14ac:dyDescent="0.25">
      <c r="A17" s="63">
        <v>9</v>
      </c>
      <c r="B17" s="18" t="s">
        <v>34</v>
      </c>
      <c r="C17" s="140"/>
      <c r="D17" s="75"/>
      <c r="E17" s="56">
        <f t="shared" si="3"/>
        <v>0</v>
      </c>
      <c r="F17" s="67">
        <f t="shared" si="17"/>
        <v>0</v>
      </c>
      <c r="G17" s="67">
        <f t="shared" si="18"/>
        <v>0</v>
      </c>
      <c r="H17" s="67"/>
      <c r="I17" s="56">
        <f t="shared" si="4"/>
        <v>0</v>
      </c>
      <c r="J17" s="129"/>
      <c r="K17" s="129"/>
      <c r="L17" s="56">
        <f t="shared" si="5"/>
        <v>0</v>
      </c>
      <c r="M17" s="75"/>
      <c r="N17" s="56">
        <f t="shared" si="6"/>
        <v>0</v>
      </c>
      <c r="O17" s="75"/>
      <c r="P17" s="56">
        <f t="shared" si="19"/>
        <v>0</v>
      </c>
      <c r="Q17" s="156"/>
      <c r="R17" s="157">
        <f t="shared" si="7"/>
        <v>0</v>
      </c>
      <c r="S17" s="75"/>
      <c r="T17" s="56">
        <f t="shared" si="8"/>
        <v>0</v>
      </c>
      <c r="U17" s="75"/>
      <c r="V17" s="56">
        <f t="shared" si="9"/>
        <v>0</v>
      </c>
      <c r="W17" s="75"/>
      <c r="X17" s="56">
        <f t="shared" si="10"/>
        <v>0</v>
      </c>
      <c r="Y17" s="75"/>
      <c r="Z17" s="56">
        <f t="shared" si="11"/>
        <v>0</v>
      </c>
      <c r="AA17" s="75"/>
      <c r="AB17" s="56">
        <f t="shared" si="12"/>
        <v>0</v>
      </c>
      <c r="AC17" s="75"/>
      <c r="AD17" s="56">
        <f t="shared" si="0"/>
        <v>0</v>
      </c>
      <c r="AE17" s="56"/>
      <c r="AF17" s="56"/>
      <c r="AG17" s="67"/>
      <c r="AH17" s="75"/>
      <c r="AI17" s="56">
        <f t="shared" si="13"/>
        <v>0</v>
      </c>
      <c r="AJ17" s="67"/>
      <c r="AK17" s="75"/>
      <c r="AL17" s="56">
        <f t="shared" si="14"/>
        <v>0</v>
      </c>
      <c r="AM17" s="61"/>
      <c r="AN17" s="61"/>
      <c r="AO17" s="56">
        <f t="shared" si="15"/>
        <v>0</v>
      </c>
      <c r="AP17" s="58">
        <f t="shared" si="16"/>
        <v>0</v>
      </c>
      <c r="AQ17" s="141" t="e">
        <f t="shared" si="1"/>
        <v>#DIV/0!</v>
      </c>
      <c r="AR17" s="142" t="e">
        <f t="shared" si="2"/>
        <v>#DIV/0!</v>
      </c>
      <c r="AS17" s="127"/>
    </row>
    <row r="18" spans="1:45" s="128" customFormat="1" ht="15.75" hidden="1" x14ac:dyDescent="0.25">
      <c r="A18" s="63">
        <v>10</v>
      </c>
      <c r="B18" s="18" t="s">
        <v>35</v>
      </c>
      <c r="C18" s="140"/>
      <c r="D18" s="75"/>
      <c r="E18" s="56">
        <f t="shared" si="3"/>
        <v>0</v>
      </c>
      <c r="F18" s="67">
        <f t="shared" si="17"/>
        <v>0</v>
      </c>
      <c r="G18" s="67">
        <f t="shared" si="18"/>
        <v>0</v>
      </c>
      <c r="H18" s="67"/>
      <c r="I18" s="56">
        <f t="shared" si="4"/>
        <v>0</v>
      </c>
      <c r="J18" s="129"/>
      <c r="K18" s="129"/>
      <c r="L18" s="56">
        <f t="shared" si="5"/>
        <v>0</v>
      </c>
      <c r="M18" s="75"/>
      <c r="N18" s="56">
        <f t="shared" si="6"/>
        <v>0</v>
      </c>
      <c r="O18" s="75"/>
      <c r="P18" s="56">
        <f t="shared" si="19"/>
        <v>0</v>
      </c>
      <c r="Q18" s="156"/>
      <c r="R18" s="157">
        <f t="shared" si="7"/>
        <v>0</v>
      </c>
      <c r="S18" s="75"/>
      <c r="T18" s="56">
        <f t="shared" si="8"/>
        <v>0</v>
      </c>
      <c r="U18" s="75"/>
      <c r="V18" s="56">
        <f t="shared" si="9"/>
        <v>0</v>
      </c>
      <c r="W18" s="75"/>
      <c r="X18" s="56">
        <f t="shared" si="10"/>
        <v>0</v>
      </c>
      <c r="Y18" s="75"/>
      <c r="Z18" s="56">
        <f t="shared" si="11"/>
        <v>0</v>
      </c>
      <c r="AA18" s="75"/>
      <c r="AB18" s="56">
        <f t="shared" si="12"/>
        <v>0</v>
      </c>
      <c r="AC18" s="75"/>
      <c r="AD18" s="56">
        <f t="shared" si="0"/>
        <v>0</v>
      </c>
      <c r="AE18" s="56"/>
      <c r="AF18" s="56"/>
      <c r="AG18" s="67"/>
      <c r="AH18" s="75"/>
      <c r="AI18" s="56">
        <f t="shared" si="13"/>
        <v>0</v>
      </c>
      <c r="AJ18" s="67"/>
      <c r="AK18" s="75"/>
      <c r="AL18" s="56">
        <f t="shared" si="14"/>
        <v>0</v>
      </c>
      <c r="AM18" s="61"/>
      <c r="AN18" s="61"/>
      <c r="AO18" s="56">
        <f t="shared" si="15"/>
        <v>0</v>
      </c>
      <c r="AP18" s="58">
        <f t="shared" si="16"/>
        <v>0</v>
      </c>
      <c r="AQ18" s="141" t="e">
        <f t="shared" si="1"/>
        <v>#DIV/0!</v>
      </c>
      <c r="AR18" s="142" t="e">
        <f t="shared" si="2"/>
        <v>#DIV/0!</v>
      </c>
      <c r="AS18" s="127"/>
    </row>
    <row r="19" spans="1:45" s="128" customFormat="1" ht="15.75" hidden="1" x14ac:dyDescent="0.25">
      <c r="A19" s="63">
        <v>11</v>
      </c>
      <c r="B19" s="18" t="s">
        <v>36</v>
      </c>
      <c r="C19" s="140"/>
      <c r="D19" s="75"/>
      <c r="E19" s="56">
        <f t="shared" si="3"/>
        <v>0</v>
      </c>
      <c r="F19" s="67">
        <f t="shared" si="17"/>
        <v>0</v>
      </c>
      <c r="G19" s="67">
        <f t="shared" si="18"/>
        <v>0</v>
      </c>
      <c r="H19" s="67"/>
      <c r="I19" s="56">
        <f t="shared" si="4"/>
        <v>0</v>
      </c>
      <c r="J19" s="129"/>
      <c r="K19" s="129"/>
      <c r="L19" s="56">
        <f t="shared" si="5"/>
        <v>0</v>
      </c>
      <c r="M19" s="75"/>
      <c r="N19" s="56">
        <f t="shared" si="6"/>
        <v>0</v>
      </c>
      <c r="O19" s="75"/>
      <c r="P19" s="56">
        <f t="shared" si="19"/>
        <v>0</v>
      </c>
      <c r="Q19" s="156"/>
      <c r="R19" s="157">
        <f t="shared" si="7"/>
        <v>0</v>
      </c>
      <c r="S19" s="75"/>
      <c r="T19" s="56">
        <f t="shared" si="8"/>
        <v>0</v>
      </c>
      <c r="U19" s="75"/>
      <c r="V19" s="56">
        <f t="shared" si="9"/>
        <v>0</v>
      </c>
      <c r="W19" s="75"/>
      <c r="X19" s="56">
        <f t="shared" si="10"/>
        <v>0</v>
      </c>
      <c r="Y19" s="75"/>
      <c r="Z19" s="56">
        <f t="shared" si="11"/>
        <v>0</v>
      </c>
      <c r="AA19" s="75"/>
      <c r="AB19" s="56">
        <f t="shared" si="12"/>
        <v>0</v>
      </c>
      <c r="AC19" s="75"/>
      <c r="AD19" s="56">
        <f t="shared" si="0"/>
        <v>0</v>
      </c>
      <c r="AE19" s="56"/>
      <c r="AF19" s="56"/>
      <c r="AG19" s="67"/>
      <c r="AH19" s="75"/>
      <c r="AI19" s="56">
        <f t="shared" si="13"/>
        <v>0</v>
      </c>
      <c r="AJ19" s="67"/>
      <c r="AK19" s="75"/>
      <c r="AL19" s="56">
        <f t="shared" si="14"/>
        <v>0</v>
      </c>
      <c r="AM19" s="61"/>
      <c r="AN19" s="61"/>
      <c r="AO19" s="56">
        <f t="shared" si="15"/>
        <v>0</v>
      </c>
      <c r="AP19" s="58">
        <f t="shared" si="16"/>
        <v>0</v>
      </c>
      <c r="AQ19" s="141" t="e">
        <f t="shared" si="1"/>
        <v>#DIV/0!</v>
      </c>
      <c r="AR19" s="142" t="e">
        <f t="shared" si="2"/>
        <v>#DIV/0!</v>
      </c>
      <c r="AS19" s="127"/>
    </row>
    <row r="20" spans="1:45" ht="15.75" x14ac:dyDescent="0.25">
      <c r="A20" s="197" t="s">
        <v>0</v>
      </c>
      <c r="B20" s="197"/>
      <c r="C20" s="143">
        <f>SUM(C9:C19)</f>
        <v>9643</v>
      </c>
      <c r="D20" s="144" t="s">
        <v>75</v>
      </c>
      <c r="E20" s="150">
        <f>SUM(E9:E19)</f>
        <v>3975.3100000000004</v>
      </c>
      <c r="F20" s="145">
        <f>SUM(F9:F19)</f>
        <v>0</v>
      </c>
      <c r="G20" s="145">
        <f>SUM(G9:G19)</f>
        <v>0</v>
      </c>
      <c r="H20" s="144" t="s">
        <v>75</v>
      </c>
      <c r="I20" s="150">
        <f>SUM(I9:I19)</f>
        <v>0</v>
      </c>
      <c r="J20" s="145">
        <f>SUM(J9:J19)</f>
        <v>0</v>
      </c>
      <c r="K20" s="146" t="s">
        <v>5</v>
      </c>
      <c r="L20" s="150">
        <f>SUM(L9:L19)</f>
        <v>0</v>
      </c>
      <c r="M20" s="146" t="s">
        <v>5</v>
      </c>
      <c r="N20" s="150">
        <f t="shared" ref="N20:P20" si="20">SUM(N9:N19)</f>
        <v>842.98070000000007</v>
      </c>
      <c r="O20" s="146" t="s">
        <v>5</v>
      </c>
      <c r="P20" s="150">
        <f t="shared" si="20"/>
        <v>0</v>
      </c>
      <c r="Q20" s="158" t="s">
        <v>5</v>
      </c>
      <c r="R20" s="159">
        <f t="shared" ref="R20" si="21">SUM(R9:R19)</f>
        <v>3933.6890000000003</v>
      </c>
      <c r="S20" s="146" t="s">
        <v>5</v>
      </c>
      <c r="T20" s="150">
        <f t="shared" ref="T20" si="22">SUM(T9:T19)</f>
        <v>33.750499999999995</v>
      </c>
      <c r="U20" s="146" t="s">
        <v>5</v>
      </c>
      <c r="V20" s="150">
        <f t="shared" ref="V20" si="23">SUM(V9:V19)</f>
        <v>27.000399999999999</v>
      </c>
      <c r="W20" s="146" t="s">
        <v>5</v>
      </c>
      <c r="X20" s="150">
        <f t="shared" ref="X20" si="24">SUM(X9:X19)</f>
        <v>1755.5689999999997</v>
      </c>
      <c r="Y20" s="146" t="s">
        <v>5</v>
      </c>
      <c r="Z20" s="150">
        <f t="shared" ref="Z20" si="25">SUM(Z9:Z19)</f>
        <v>0</v>
      </c>
      <c r="AA20" s="146" t="s">
        <v>5</v>
      </c>
      <c r="AB20" s="150">
        <f t="shared" ref="AB20" si="26">SUM(AB9:AB19)</f>
        <v>0</v>
      </c>
      <c r="AC20" s="146" t="s">
        <v>5</v>
      </c>
      <c r="AD20" s="150">
        <f t="shared" ref="AD20" si="27">SUM(AD9:AD19)</f>
        <v>29.411149999999999</v>
      </c>
      <c r="AE20" s="150">
        <f t="shared" ref="AE20" si="28">SUM(AE9:AE19)</f>
        <v>0</v>
      </c>
      <c r="AF20" s="150">
        <f t="shared" ref="AF20" si="29">SUM(AF9:AF19)</f>
        <v>0</v>
      </c>
      <c r="AG20" s="143">
        <f>SUM(AG9:AG19)</f>
        <v>0</v>
      </c>
      <c r="AH20" s="146" t="s">
        <v>5</v>
      </c>
      <c r="AI20" s="150">
        <f t="shared" ref="AI20" si="30">SUM(AI9:AI19)</f>
        <v>0</v>
      </c>
      <c r="AJ20" s="143">
        <f>SUM(AJ9:AJ19)</f>
        <v>0</v>
      </c>
      <c r="AK20" s="146" t="s">
        <v>5</v>
      </c>
      <c r="AL20" s="150">
        <f t="shared" ref="AL20" si="31">SUM(AL9:AL19)</f>
        <v>0</v>
      </c>
      <c r="AM20" s="146" t="s">
        <v>5</v>
      </c>
      <c r="AN20" s="144" t="s">
        <v>75</v>
      </c>
      <c r="AO20" s="150">
        <f>SUM(AO9:AO19)</f>
        <v>164.89565400000001</v>
      </c>
      <c r="AP20" s="150">
        <f>SUM(AP9:AP19)</f>
        <v>10762.606403999998</v>
      </c>
      <c r="AQ20" s="147">
        <f>SUM(AQ9:AQ15)</f>
        <v>7.8371511523178805</v>
      </c>
      <c r="AR20" s="149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77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77</v>
      </c>
      <c r="Y23" s="5"/>
      <c r="AM23" s="5" t="s">
        <v>76</v>
      </c>
    </row>
    <row r="24" spans="1:45" ht="15.75" x14ac:dyDescent="0.25">
      <c r="AD24" s="73"/>
      <c r="AE24" s="73"/>
      <c r="AF24" s="73"/>
      <c r="AI24" s="73"/>
      <c r="AL24" s="73"/>
      <c r="AM24" s="5" t="s">
        <v>76</v>
      </c>
    </row>
    <row r="25" spans="1:45" ht="12.75" customHeight="1" x14ac:dyDescent="0.2">
      <c r="B25" s="5" t="s">
        <v>76</v>
      </c>
    </row>
    <row r="26" spans="1:45" ht="13.5" customHeight="1" x14ac:dyDescent="0.2"/>
    <row r="27" spans="1:45" ht="12.75" hidden="1" customHeight="1" x14ac:dyDescent="0.2">
      <c r="A27" s="209" t="s">
        <v>1</v>
      </c>
      <c r="B27" s="209" t="s">
        <v>2</v>
      </c>
      <c r="C27" s="201" t="s">
        <v>78</v>
      </c>
      <c r="D27" s="188" t="s">
        <v>46</v>
      </c>
      <c r="E27" s="122"/>
      <c r="F27" s="122"/>
      <c r="G27" s="120"/>
      <c r="H27" s="120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88" t="s">
        <v>46</v>
      </c>
      <c r="U27" s="119"/>
      <c r="V27" s="201" t="s">
        <v>47</v>
      </c>
      <c r="W27" s="188" t="s">
        <v>48</v>
      </c>
      <c r="X27" s="201" t="s">
        <v>49</v>
      </c>
      <c r="Y27" s="188" t="s">
        <v>50</v>
      </c>
      <c r="Z27" s="201" t="s">
        <v>51</v>
      </c>
      <c r="AA27" s="203"/>
      <c r="AB27" s="203"/>
      <c r="AC27" s="219" t="s">
        <v>52</v>
      </c>
      <c r="AD27" s="188" t="s">
        <v>53</v>
      </c>
      <c r="AE27" s="188" t="s">
        <v>53</v>
      </c>
      <c r="AF27" s="188" t="s">
        <v>53</v>
      </c>
      <c r="AG27" s="188" t="s">
        <v>52</v>
      </c>
      <c r="AH27" s="119"/>
      <c r="AI27" s="188" t="s">
        <v>53</v>
      </c>
      <c r="AJ27" s="188" t="s">
        <v>52</v>
      </c>
      <c r="AK27" s="119"/>
      <c r="AL27" s="188" t="s">
        <v>53</v>
      </c>
      <c r="AM27" s="188" t="s">
        <v>79</v>
      </c>
      <c r="AN27" s="201" t="s">
        <v>80</v>
      </c>
      <c r="AO27" s="188" t="s">
        <v>54</v>
      </c>
    </row>
    <row r="28" spans="1:45" ht="12.75" hidden="1" customHeight="1" x14ac:dyDescent="0.2">
      <c r="A28" s="210"/>
      <c r="B28" s="212"/>
      <c r="C28" s="201"/>
      <c r="D28" s="188"/>
      <c r="E28" s="123"/>
      <c r="F28" s="123"/>
      <c r="G28" s="121"/>
      <c r="H28" s="121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88"/>
      <c r="U28" s="119"/>
      <c r="V28" s="201"/>
      <c r="W28" s="188"/>
      <c r="X28" s="201"/>
      <c r="Y28" s="188"/>
      <c r="Z28" s="201"/>
      <c r="AA28" s="204"/>
      <c r="AB28" s="204"/>
      <c r="AC28" s="220"/>
      <c r="AD28" s="188"/>
      <c r="AE28" s="188"/>
      <c r="AF28" s="188"/>
      <c r="AG28" s="188"/>
      <c r="AH28" s="119"/>
      <c r="AI28" s="188"/>
      <c r="AJ28" s="188"/>
      <c r="AK28" s="119"/>
      <c r="AL28" s="188"/>
      <c r="AM28" s="188"/>
      <c r="AN28" s="201"/>
      <c r="AO28" s="188"/>
    </row>
    <row r="29" spans="1:45" ht="34.5" hidden="1" customHeight="1" x14ac:dyDescent="0.2">
      <c r="A29" s="211"/>
      <c r="B29" s="211"/>
      <c r="C29" s="201"/>
      <c r="D29" s="188"/>
      <c r="E29" s="123"/>
      <c r="F29" s="123"/>
      <c r="G29" s="121"/>
      <c r="H29" s="121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88"/>
      <c r="U29" s="119"/>
      <c r="V29" s="201"/>
      <c r="W29" s="188"/>
      <c r="X29" s="201"/>
      <c r="Y29" s="188"/>
      <c r="Z29" s="201"/>
      <c r="AA29" s="205"/>
      <c r="AB29" s="205"/>
      <c r="AC29" s="221"/>
      <c r="AD29" s="188"/>
      <c r="AE29" s="188"/>
      <c r="AF29" s="188"/>
      <c r="AG29" s="188"/>
      <c r="AH29" s="119"/>
      <c r="AI29" s="188"/>
      <c r="AJ29" s="188"/>
      <c r="AK29" s="119"/>
      <c r="AL29" s="188"/>
      <c r="AM29" s="188"/>
      <c r="AN29" s="201"/>
      <c r="AO29" s="188"/>
    </row>
    <row r="30" spans="1:45" ht="14.25" hidden="1" customHeight="1" thickBot="1" x14ac:dyDescent="0.25">
      <c r="A30" s="213" t="s">
        <v>59</v>
      </c>
      <c r="B30" s="214"/>
      <c r="C30" s="45">
        <v>1</v>
      </c>
      <c r="D30" s="46">
        <v>2</v>
      </c>
      <c r="E30" s="125"/>
      <c r="F30" s="125"/>
      <c r="G30" s="125"/>
      <c r="H30" s="125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60</v>
      </c>
      <c r="W30" s="46">
        <v>4</v>
      </c>
      <c r="X30" s="45" t="s">
        <v>61</v>
      </c>
      <c r="Y30" s="46">
        <v>6</v>
      </c>
      <c r="Z30" s="45" t="s">
        <v>62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63</v>
      </c>
      <c r="AO30" s="46">
        <v>13</v>
      </c>
    </row>
    <row r="31" spans="1:45" ht="17.25" hidden="1" customHeight="1" x14ac:dyDescent="0.2">
      <c r="A31" s="215"/>
      <c r="B31" s="216"/>
      <c r="C31" s="47" t="s">
        <v>64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65</v>
      </c>
      <c r="C32" s="68">
        <v>33351</v>
      </c>
      <c r="D32" s="74">
        <v>0.496</v>
      </c>
      <c r="E32" s="126"/>
      <c r="F32" s="126"/>
      <c r="G32" s="126"/>
      <c r="H32" s="126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2">C32*D32</f>
        <v>16542.096000000001</v>
      </c>
      <c r="W32" s="75">
        <v>0.06</v>
      </c>
      <c r="X32" s="60">
        <f t="shared" ref="X32:X50" si="33">W32*C32</f>
        <v>2001.06</v>
      </c>
      <c r="Y32" s="57">
        <v>0.40899999999999997</v>
      </c>
      <c r="Z32" s="65">
        <f t="shared" ref="Z32:Z50" si="34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66</v>
      </c>
      <c r="C33" s="68">
        <v>5340</v>
      </c>
      <c r="D33" s="74">
        <v>0.496</v>
      </c>
      <c r="E33" s="126"/>
      <c r="F33" s="126"/>
      <c r="G33" s="126"/>
      <c r="H33" s="126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2"/>
        <v>2648.64</v>
      </c>
      <c r="W33" s="75">
        <v>0.15</v>
      </c>
      <c r="X33" s="60">
        <f t="shared" si="33"/>
        <v>801</v>
      </c>
      <c r="Y33" s="57">
        <v>0.40899999999999997</v>
      </c>
      <c r="Z33" s="66">
        <f t="shared" si="34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67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2"/>
        <v>2518.192</v>
      </c>
      <c r="W34" s="75">
        <v>0.15</v>
      </c>
      <c r="X34" s="60">
        <f t="shared" si="33"/>
        <v>761.55</v>
      </c>
      <c r="Y34" s="57">
        <v>0.40899999999999997</v>
      </c>
      <c r="Z34" s="66">
        <f t="shared" si="34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68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2"/>
        <v>3154.0639999999999</v>
      </c>
      <c r="W35" s="75">
        <v>0.15</v>
      </c>
      <c r="X35" s="60">
        <f t="shared" si="33"/>
        <v>953.84999999999991</v>
      </c>
      <c r="Y35" s="57">
        <v>0.40899999999999997</v>
      </c>
      <c r="Z35" s="66">
        <f t="shared" si="34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69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2"/>
        <v>2334.672</v>
      </c>
      <c r="W36" s="75">
        <v>0.2</v>
      </c>
      <c r="X36" s="60">
        <f t="shared" si="33"/>
        <v>941.40000000000009</v>
      </c>
      <c r="Y36" s="57">
        <v>0.40899999999999997</v>
      </c>
      <c r="Z36" s="66">
        <f t="shared" si="34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70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2"/>
        <v>1121.8125</v>
      </c>
      <c r="W37" s="75">
        <v>0.3</v>
      </c>
      <c r="X37" s="60">
        <f t="shared" si="33"/>
        <v>562.5</v>
      </c>
      <c r="Y37" s="57">
        <v>0.23</v>
      </c>
      <c r="Z37" s="66">
        <f t="shared" si="34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71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2"/>
        <v>1503.5279</v>
      </c>
      <c r="W38" s="75">
        <v>0.3</v>
      </c>
      <c r="X38" s="60">
        <f t="shared" si="33"/>
        <v>753.9</v>
      </c>
      <c r="Y38" s="57">
        <v>0.23</v>
      </c>
      <c r="Z38" s="66">
        <f t="shared" si="34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72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2"/>
        <v>355.98850000000004</v>
      </c>
      <c r="W39" s="75">
        <v>0.5</v>
      </c>
      <c r="X39" s="60">
        <f t="shared" si="33"/>
        <v>297.5</v>
      </c>
      <c r="Y39" s="57">
        <v>0.23</v>
      </c>
      <c r="Z39" s="66">
        <f t="shared" si="34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73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2"/>
        <v>1340.192</v>
      </c>
      <c r="W40" s="75">
        <v>0.3</v>
      </c>
      <c r="X40" s="60">
        <f t="shared" si="33"/>
        <v>672</v>
      </c>
      <c r="Y40" s="57">
        <v>0.23</v>
      </c>
      <c r="Z40" s="66">
        <f t="shared" si="34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74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2"/>
        <v>230.94380000000001</v>
      </c>
      <c r="W41" s="75">
        <v>0.5</v>
      </c>
      <c r="X41" s="60">
        <f t="shared" si="33"/>
        <v>193</v>
      </c>
      <c r="Y41" s="57">
        <v>0.23</v>
      </c>
      <c r="Z41" s="66">
        <f t="shared" si="34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2"/>
        <v>0</v>
      </c>
      <c r="W42" s="61"/>
      <c r="X42" s="60">
        <f t="shared" si="33"/>
        <v>0</v>
      </c>
      <c r="Y42" s="71"/>
      <c r="Z42" s="60">
        <f t="shared" si="34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2"/>
        <v>0</v>
      </c>
      <c r="W43" s="61"/>
      <c r="X43" s="60">
        <f t="shared" si="33"/>
        <v>0</v>
      </c>
      <c r="Y43" s="71"/>
      <c r="Z43" s="60">
        <f t="shared" si="34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2"/>
        <v>0</v>
      </c>
      <c r="W44" s="61"/>
      <c r="X44" s="60">
        <f t="shared" si="33"/>
        <v>0</v>
      </c>
      <c r="Y44" s="71"/>
      <c r="Z44" s="60">
        <f t="shared" si="3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2"/>
        <v>0</v>
      </c>
      <c r="W45" s="61"/>
      <c r="X45" s="60">
        <f t="shared" si="33"/>
        <v>0</v>
      </c>
      <c r="Y45" s="71"/>
      <c r="Z45" s="60">
        <f t="shared" si="3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2"/>
        <v>0</v>
      </c>
      <c r="W46" s="61"/>
      <c r="X46" s="60">
        <f t="shared" si="33"/>
        <v>0</v>
      </c>
      <c r="Y46" s="71"/>
      <c r="Z46" s="60">
        <f t="shared" si="3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2"/>
        <v>0</v>
      </c>
      <c r="W47" s="61"/>
      <c r="X47" s="60">
        <f t="shared" si="33"/>
        <v>0</v>
      </c>
      <c r="Y47" s="71"/>
      <c r="Z47" s="60">
        <f t="shared" si="3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2"/>
        <v>0</v>
      </c>
      <c r="W48" s="61"/>
      <c r="X48" s="60">
        <f t="shared" si="33"/>
        <v>0</v>
      </c>
      <c r="Y48" s="71"/>
      <c r="Z48" s="60">
        <f t="shared" si="3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2"/>
        <v>0</v>
      </c>
      <c r="W49" s="61"/>
      <c r="X49" s="60">
        <f t="shared" si="33"/>
        <v>0</v>
      </c>
      <c r="Y49" s="71"/>
      <c r="Z49" s="60">
        <f t="shared" si="3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2"/>
        <v>0</v>
      </c>
      <c r="W50" s="61"/>
      <c r="X50" s="60">
        <f t="shared" si="33"/>
        <v>0</v>
      </c>
      <c r="Y50" s="71"/>
      <c r="Z50" s="60">
        <f t="shared" si="3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217" t="s">
        <v>0</v>
      </c>
      <c r="B51" s="218"/>
      <c r="C51" s="72">
        <f>SUM(C32:C50)</f>
        <v>62443</v>
      </c>
      <c r="D51" s="72" t="s">
        <v>75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75</v>
      </c>
      <c r="U51" s="72"/>
      <c r="V51" s="72">
        <f>SUM(V32:V50)</f>
        <v>31750.128699999997</v>
      </c>
      <c r="W51" s="72" t="s">
        <v>75</v>
      </c>
      <c r="X51" s="72">
        <f>SUM(X32:X50)</f>
        <v>7937.7599999999984</v>
      </c>
      <c r="Y51" s="72" t="s">
        <v>75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75</v>
      </c>
      <c r="AE51" s="72" t="s">
        <v>75</v>
      </c>
      <c r="AF51" s="72" t="s">
        <v>75</v>
      </c>
      <c r="AG51" s="72">
        <f>SUM(AG32:AG50)</f>
        <v>148.70000000000002</v>
      </c>
      <c r="AH51" s="72"/>
      <c r="AI51" s="72" t="s">
        <v>75</v>
      </c>
      <c r="AJ51" s="72">
        <f>SUM(AJ32:AJ50)</f>
        <v>148.70000000000002</v>
      </c>
      <c r="AK51" s="72"/>
      <c r="AL51" s="72" t="s">
        <v>75</v>
      </c>
      <c r="AM51" s="72" t="s">
        <v>75</v>
      </c>
      <c r="AN51" s="72">
        <f>SUM(AN32:AN50)</f>
        <v>1270</v>
      </c>
      <c r="AO51" s="72" t="s">
        <v>75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ht="16.5" x14ac:dyDescent="0.25">
      <c r="E54" s="130">
        <v>3232</v>
      </c>
      <c r="Y54" s="1" t="s">
        <v>76</v>
      </c>
    </row>
    <row r="55" spans="1:42" ht="16.5" x14ac:dyDescent="0.25">
      <c r="E55" s="130">
        <v>743</v>
      </c>
      <c r="V55" s="1" t="s">
        <v>76</v>
      </c>
      <c r="X55" s="1" t="s">
        <v>76</v>
      </c>
      <c r="AC55" s="1" t="s">
        <v>76</v>
      </c>
      <c r="AG55" s="1" t="s">
        <v>76</v>
      </c>
      <c r="AJ55" s="1" t="s">
        <v>76</v>
      </c>
      <c r="AM55" s="5"/>
    </row>
    <row r="56" spans="1:42" ht="16.5" x14ac:dyDescent="0.25">
      <c r="D56" s="5" t="s">
        <v>76</v>
      </c>
      <c r="E56" s="130">
        <v>1592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76</v>
      </c>
      <c r="U56" s="5"/>
      <c r="V56" s="5" t="s">
        <v>76</v>
      </c>
      <c r="X56" s="5"/>
    </row>
    <row r="57" spans="1:42" ht="16.5" x14ac:dyDescent="0.25">
      <c r="D57" s="5" t="s">
        <v>76</v>
      </c>
      <c r="E57" s="130">
        <v>1032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76</v>
      </c>
      <c r="U57" s="5"/>
      <c r="V57" s="5" t="s">
        <v>76</v>
      </c>
      <c r="X57" s="1" t="s">
        <v>76</v>
      </c>
      <c r="Y57" s="1" t="s">
        <v>76</v>
      </c>
      <c r="AC57" s="1" t="s">
        <v>76</v>
      </c>
      <c r="AG57" s="1" t="s">
        <v>76</v>
      </c>
      <c r="AJ57" s="1" t="s">
        <v>76</v>
      </c>
      <c r="AN57" s="1" t="s">
        <v>76</v>
      </c>
    </row>
    <row r="58" spans="1:42" ht="16.5" x14ac:dyDescent="0.25">
      <c r="D58" s="5" t="s">
        <v>76</v>
      </c>
      <c r="E58" s="130">
        <v>910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76</v>
      </c>
      <c r="U58" s="5"/>
    </row>
    <row r="59" spans="1:42" ht="16.5" x14ac:dyDescent="0.25">
      <c r="E59" s="130">
        <v>1450</v>
      </c>
      <c r="AM59" s="1" t="s">
        <v>76</v>
      </c>
    </row>
    <row r="60" spans="1:42" ht="16.5" x14ac:dyDescent="0.25">
      <c r="E60" s="130">
        <v>1005</v>
      </c>
      <c r="AD60" s="1" t="s">
        <v>76</v>
      </c>
      <c r="AE60" s="1" t="s">
        <v>76</v>
      </c>
      <c r="AF60" s="1" t="s">
        <v>76</v>
      </c>
      <c r="AI60" s="1" t="s">
        <v>76</v>
      </c>
      <c r="AL60" s="1" t="s">
        <v>76</v>
      </c>
    </row>
    <row r="61" spans="1:42" x14ac:dyDescent="0.2">
      <c r="AD61" s="1" t="s">
        <v>76</v>
      </c>
      <c r="AE61" s="1" t="s">
        <v>76</v>
      </c>
      <c r="AF61" s="1" t="s">
        <v>76</v>
      </c>
      <c r="AI61" s="1" t="s">
        <v>76</v>
      </c>
      <c r="AL61" s="1" t="s">
        <v>76</v>
      </c>
      <c r="AM61" s="5" t="s">
        <v>76</v>
      </c>
    </row>
    <row r="63" spans="1:42" x14ac:dyDescent="0.2">
      <c r="AM63" s="1" t="s">
        <v>76</v>
      </c>
      <c r="AP63" s="1" t="s">
        <v>76</v>
      </c>
    </row>
    <row r="67" spans="42:42" x14ac:dyDescent="0.2">
      <c r="AP67" s="1" t="s">
        <v>76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47244094488188981" right="0.19685039370078741" top="1.1417322834645669" bottom="0.35433070866141736" header="0.15748031496062992" footer="0.19685039370078741"/>
  <pageSetup paperSize="9" scale="65" firstPageNumber="164" fitToWidth="0" orientation="landscape" useFirstPageNumber="1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V27"/>
  <sheetViews>
    <sheetView tabSelected="1" topLeftCell="E4" zoomScaleNormal="100" zoomScaleSheetLayoutView="115" workbookViewId="0">
      <selection activeCell="N32" sqref="N32"/>
    </sheetView>
  </sheetViews>
  <sheetFormatPr defaultColWidth="8.83203125" defaultRowHeight="12.75" x14ac:dyDescent="0.2"/>
  <cols>
    <col min="1" max="1" width="4.6640625" style="1" customWidth="1"/>
    <col min="2" max="2" width="21.83203125" style="1" customWidth="1"/>
    <col min="3" max="3" width="15.33203125" style="1" customWidth="1"/>
    <col min="4" max="4" width="18.6640625" style="1" customWidth="1"/>
    <col min="5" max="5" width="16.6640625" style="1" customWidth="1"/>
    <col min="6" max="6" width="16.33203125" style="1" customWidth="1"/>
    <col min="7" max="7" width="15" style="1" customWidth="1"/>
    <col min="8" max="8" width="14" style="1" customWidth="1"/>
    <col min="9" max="9" width="14.33203125" style="1" customWidth="1"/>
    <col min="10" max="10" width="11.6640625" style="1" customWidth="1"/>
    <col min="11" max="12" width="14.5" style="1" customWidth="1"/>
    <col min="13" max="13" width="18.6640625" style="1" customWidth="1"/>
    <col min="14" max="14" width="18.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83" customFormat="1" ht="18.75" x14ac:dyDescent="0.3">
      <c r="A1" s="80"/>
      <c r="B1" s="81"/>
      <c r="C1" s="82"/>
      <c r="P1" s="84"/>
      <c r="S1" s="85"/>
      <c r="T1" s="228"/>
      <c r="U1" s="228"/>
      <c r="V1" s="228"/>
    </row>
    <row r="2" spans="1:22" s="83" customFormat="1" ht="17.649999999999999" customHeight="1" x14ac:dyDescent="0.35">
      <c r="A2" s="229">
        <f ca="1">NOW()</f>
        <v>45597.671734837961</v>
      </c>
      <c r="B2" s="229"/>
      <c r="C2" s="111" t="s">
        <v>150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90">
        <v>1000000</v>
      </c>
      <c r="P2" s="88"/>
      <c r="Q2" s="92"/>
      <c r="R2" s="91"/>
      <c r="S2" s="87"/>
      <c r="T2" s="87"/>
      <c r="U2" s="87"/>
      <c r="V2" s="87"/>
    </row>
    <row r="3" spans="1:22" s="83" customFormat="1" ht="17.649999999999999" customHeight="1" x14ac:dyDescent="0.35">
      <c r="A3" s="164"/>
      <c r="B3" s="164"/>
      <c r="C3" s="111" t="s">
        <v>151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65"/>
      <c r="P3" s="88"/>
      <c r="Q3" s="92"/>
      <c r="R3" s="91"/>
      <c r="S3" s="87"/>
      <c r="T3" s="87"/>
      <c r="U3" s="87"/>
      <c r="V3" s="87"/>
    </row>
    <row r="4" spans="1:22" s="83" customFormat="1" ht="17.649999999999999" customHeight="1" x14ac:dyDescent="0.35">
      <c r="A4" s="164"/>
      <c r="B4" s="164"/>
      <c r="C4" s="111" t="s">
        <v>101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65"/>
      <c r="P4" s="88"/>
      <c r="Q4" s="92"/>
      <c r="R4" s="91"/>
      <c r="S4" s="87"/>
      <c r="T4" s="87"/>
      <c r="U4" s="87"/>
      <c r="V4" s="87"/>
    </row>
    <row r="5" spans="1:22" s="83" customFormat="1" ht="17.649999999999999" customHeight="1" x14ac:dyDescent="0.35">
      <c r="A5" s="164"/>
      <c r="B5" s="164"/>
      <c r="C5" s="111" t="s">
        <v>173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65"/>
      <c r="P5" s="88"/>
      <c r="Q5" s="92"/>
      <c r="R5" s="91"/>
      <c r="S5" s="87"/>
      <c r="T5" s="87"/>
      <c r="U5" s="87"/>
      <c r="V5" s="87"/>
    </row>
    <row r="6" spans="1:22" s="83" customFormat="1" ht="17.649999999999999" customHeight="1" x14ac:dyDescent="0.35">
      <c r="A6" s="166"/>
      <c r="B6" s="166"/>
      <c r="C6" s="111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65"/>
      <c r="P6" s="88"/>
      <c r="Q6" s="92"/>
      <c r="R6" s="91"/>
      <c r="S6" s="87"/>
      <c r="T6" s="87"/>
      <c r="U6" s="87"/>
      <c r="V6" s="87"/>
    </row>
    <row r="7" spans="1:22" s="83" customFormat="1" ht="15.75" customHeight="1" x14ac:dyDescent="0.25">
      <c r="A7" s="166" t="s">
        <v>7</v>
      </c>
      <c r="B7" s="166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09"/>
      <c r="O7" s="92"/>
      <c r="P7" s="92"/>
      <c r="Q7" s="92"/>
      <c r="R7" s="92"/>
      <c r="S7" s="92"/>
      <c r="T7" s="92"/>
      <c r="U7" s="92"/>
      <c r="V7" s="87"/>
    </row>
    <row r="8" spans="1:22" s="83" customFormat="1" ht="13.15" customHeight="1" x14ac:dyDescent="0.2">
      <c r="A8" s="226" t="s">
        <v>1</v>
      </c>
      <c r="B8" s="226" t="s">
        <v>2</v>
      </c>
      <c r="C8" s="230" t="s">
        <v>89</v>
      </c>
      <c r="D8" s="226" t="s">
        <v>98</v>
      </c>
      <c r="E8" s="226" t="s">
        <v>152</v>
      </c>
      <c r="F8" s="227" t="s">
        <v>99</v>
      </c>
      <c r="G8" s="226" t="s">
        <v>155</v>
      </c>
      <c r="H8" s="226" t="s">
        <v>156</v>
      </c>
      <c r="I8" s="226" t="s">
        <v>157</v>
      </c>
      <c r="J8" s="226" t="s">
        <v>158</v>
      </c>
      <c r="K8" s="234" t="s">
        <v>159</v>
      </c>
      <c r="L8" s="234" t="s">
        <v>169</v>
      </c>
      <c r="M8" s="227" t="s">
        <v>90</v>
      </c>
      <c r="N8" s="227" t="s">
        <v>138</v>
      </c>
      <c r="O8" s="231" t="s">
        <v>153</v>
      </c>
    </row>
    <row r="9" spans="1:22" s="83" customFormat="1" ht="13.15" customHeight="1" x14ac:dyDescent="0.2">
      <c r="A9" s="226"/>
      <c r="B9" s="226"/>
      <c r="C9" s="230"/>
      <c r="D9" s="226"/>
      <c r="E9" s="226"/>
      <c r="F9" s="227"/>
      <c r="G9" s="226"/>
      <c r="H9" s="226"/>
      <c r="I9" s="226"/>
      <c r="J9" s="226"/>
      <c r="K9" s="235"/>
      <c r="L9" s="235"/>
      <c r="M9" s="227"/>
      <c r="N9" s="227"/>
      <c r="O9" s="232"/>
    </row>
    <row r="10" spans="1:22" s="83" customFormat="1" ht="129" customHeight="1" x14ac:dyDescent="0.2">
      <c r="A10" s="226"/>
      <c r="B10" s="226"/>
      <c r="C10" s="230"/>
      <c r="D10" s="226"/>
      <c r="E10" s="226"/>
      <c r="F10" s="227"/>
      <c r="G10" s="226"/>
      <c r="H10" s="226"/>
      <c r="I10" s="226"/>
      <c r="J10" s="226"/>
      <c r="K10" s="236"/>
      <c r="L10" s="236"/>
      <c r="M10" s="227"/>
      <c r="N10" s="227"/>
      <c r="O10" s="233"/>
    </row>
    <row r="11" spans="1:22" s="93" customFormat="1" ht="27" customHeight="1" x14ac:dyDescent="0.2">
      <c r="A11" s="222" t="s">
        <v>30</v>
      </c>
      <c r="B11" s="223"/>
      <c r="C11" s="167">
        <v>1</v>
      </c>
      <c r="D11" s="167">
        <v>2</v>
      </c>
      <c r="E11" s="167">
        <v>3</v>
      </c>
      <c r="F11" s="168" t="s">
        <v>154</v>
      </c>
      <c r="G11" s="167">
        <v>5</v>
      </c>
      <c r="H11" s="167">
        <v>6</v>
      </c>
      <c r="I11" s="167">
        <v>7</v>
      </c>
      <c r="J11" s="167">
        <v>8</v>
      </c>
      <c r="K11" s="167">
        <v>9</v>
      </c>
      <c r="L11" s="167"/>
      <c r="M11" s="168" t="s">
        <v>160</v>
      </c>
      <c r="N11" s="169" t="s">
        <v>161</v>
      </c>
      <c r="O11" s="169" t="s">
        <v>177</v>
      </c>
    </row>
    <row r="12" spans="1:22" s="83" customFormat="1" ht="16.5" customHeight="1" x14ac:dyDescent="0.25">
      <c r="A12" s="224"/>
      <c r="B12" s="225"/>
      <c r="C12" s="167"/>
      <c r="D12" s="170"/>
      <c r="E12" s="170"/>
      <c r="F12" s="171"/>
      <c r="G12" s="170"/>
      <c r="H12" s="170"/>
      <c r="I12" s="170"/>
      <c r="J12" s="170"/>
      <c r="K12" s="170"/>
      <c r="L12" s="170"/>
      <c r="M12" s="171"/>
      <c r="N12" s="171"/>
      <c r="O12" s="172">
        <f>O2</f>
        <v>1000000</v>
      </c>
    </row>
    <row r="13" spans="1:22" s="7" customFormat="1" ht="18" customHeight="1" x14ac:dyDescent="0.25">
      <c r="A13" s="54">
        <v>1</v>
      </c>
      <c r="B13" s="173" t="s">
        <v>162</v>
      </c>
      <c r="C13" s="174">
        <v>3891</v>
      </c>
      <c r="D13" s="175">
        <v>0</v>
      </c>
      <c r="E13" s="175">
        <v>0</v>
      </c>
      <c r="F13" s="176">
        <f>SUM(C13:E13)</f>
        <v>3891</v>
      </c>
      <c r="G13" s="177">
        <v>0</v>
      </c>
      <c r="H13" s="178">
        <v>0</v>
      </c>
      <c r="I13" s="177">
        <v>1071</v>
      </c>
      <c r="J13" s="177">
        <v>90</v>
      </c>
      <c r="K13" s="177"/>
      <c r="L13" s="177">
        <v>170</v>
      </c>
      <c r="M13" s="179">
        <f>SUM(G13:L13)</f>
        <v>1331</v>
      </c>
      <c r="N13" s="179">
        <f t="shared" ref="N13:N23" si="0">IF(F13&lt;M13,M13-F13,0)</f>
        <v>0</v>
      </c>
      <c r="O13" s="179">
        <f>ROUND(N13/$N$24*$O$12,0)</f>
        <v>0</v>
      </c>
    </row>
    <row r="14" spans="1:22" s="7" customFormat="1" ht="15.75" x14ac:dyDescent="0.25">
      <c r="A14" s="63">
        <v>2</v>
      </c>
      <c r="B14" s="173" t="s">
        <v>163</v>
      </c>
      <c r="C14" s="174">
        <v>1728</v>
      </c>
      <c r="D14" s="175">
        <v>18</v>
      </c>
      <c r="E14" s="175">
        <v>0</v>
      </c>
      <c r="F14" s="176">
        <f t="shared" ref="F14:F23" si="1">SUM(C14:E14)</f>
        <v>1746</v>
      </c>
      <c r="G14" s="178">
        <v>1303</v>
      </c>
      <c r="H14" s="178">
        <v>393</v>
      </c>
      <c r="I14" s="178">
        <v>517</v>
      </c>
      <c r="J14" s="177">
        <v>49</v>
      </c>
      <c r="K14" s="177">
        <v>42</v>
      </c>
      <c r="L14" s="177"/>
      <c r="M14" s="179">
        <f>SUM(G14:L14)</f>
        <v>2304</v>
      </c>
      <c r="N14" s="179">
        <f t="shared" si="0"/>
        <v>558</v>
      </c>
      <c r="O14" s="179">
        <f t="shared" ref="O14:O23" si="2">ROUND(N14/$N$24*$O$12,0)</f>
        <v>130989</v>
      </c>
      <c r="Q14" s="163"/>
    </row>
    <row r="15" spans="1:22" s="7" customFormat="1" ht="16.5" customHeight="1" x14ac:dyDescent="0.25">
      <c r="A15" s="63">
        <v>3</v>
      </c>
      <c r="B15" s="173" t="s">
        <v>164</v>
      </c>
      <c r="C15" s="174">
        <v>1633.1</v>
      </c>
      <c r="D15" s="175">
        <v>251</v>
      </c>
      <c r="E15" s="175">
        <v>0</v>
      </c>
      <c r="F15" s="176">
        <f t="shared" si="1"/>
        <v>1884.1</v>
      </c>
      <c r="G15" s="178">
        <v>1294</v>
      </c>
      <c r="H15" s="178">
        <v>391</v>
      </c>
      <c r="I15" s="178">
        <v>2291</v>
      </c>
      <c r="J15" s="177">
        <v>8</v>
      </c>
      <c r="K15" s="177">
        <v>47</v>
      </c>
      <c r="L15" s="177">
        <v>300</v>
      </c>
      <c r="M15" s="179">
        <f>SUM(G15:L15)</f>
        <v>4331</v>
      </c>
      <c r="N15" s="179">
        <f t="shared" si="0"/>
        <v>2446.9</v>
      </c>
      <c r="O15" s="179">
        <f t="shared" si="2"/>
        <v>574403</v>
      </c>
      <c r="Q15" s="163"/>
    </row>
    <row r="16" spans="1:22" s="7" customFormat="1" ht="27.75" customHeight="1" x14ac:dyDescent="0.25">
      <c r="A16" s="54">
        <v>4</v>
      </c>
      <c r="B16" s="173" t="s">
        <v>165</v>
      </c>
      <c r="C16" s="174">
        <v>1674.4</v>
      </c>
      <c r="D16" s="175">
        <v>12</v>
      </c>
      <c r="E16" s="175">
        <v>0</v>
      </c>
      <c r="F16" s="176">
        <f t="shared" si="1"/>
        <v>1686.4</v>
      </c>
      <c r="G16" s="178">
        <v>1330</v>
      </c>
      <c r="H16" s="178">
        <v>380</v>
      </c>
      <c r="I16" s="178">
        <v>272</v>
      </c>
      <c r="J16" s="177">
        <v>8</v>
      </c>
      <c r="K16" s="177">
        <v>23</v>
      </c>
      <c r="L16" s="177"/>
      <c r="M16" s="179">
        <f>SUM(G16:K16)</f>
        <v>2013</v>
      </c>
      <c r="N16" s="179">
        <f t="shared" si="0"/>
        <v>326.59999999999991</v>
      </c>
      <c r="O16" s="179">
        <f t="shared" si="2"/>
        <v>76668</v>
      </c>
      <c r="Q16" s="163"/>
    </row>
    <row r="17" spans="1:22" s="7" customFormat="1" ht="16.5" customHeight="1" x14ac:dyDescent="0.25">
      <c r="A17" s="63">
        <v>7</v>
      </c>
      <c r="B17" s="173" t="s">
        <v>166</v>
      </c>
      <c r="C17" s="174">
        <v>2064.3000000000002</v>
      </c>
      <c r="D17" s="175">
        <v>125</v>
      </c>
      <c r="E17" s="175">
        <v>0</v>
      </c>
      <c r="F17" s="176">
        <f t="shared" si="1"/>
        <v>2189.3000000000002</v>
      </c>
      <c r="G17" s="178">
        <v>1087</v>
      </c>
      <c r="H17" s="178">
        <v>319</v>
      </c>
      <c r="I17" s="180">
        <v>59</v>
      </c>
      <c r="J17" s="177">
        <v>17</v>
      </c>
      <c r="K17" s="177">
        <v>63</v>
      </c>
      <c r="L17" s="177"/>
      <c r="M17" s="179">
        <f>SUM(G17:K17)</f>
        <v>1545</v>
      </c>
      <c r="N17" s="179">
        <f t="shared" si="0"/>
        <v>0</v>
      </c>
      <c r="O17" s="179">
        <f t="shared" si="2"/>
        <v>0</v>
      </c>
      <c r="Q17" s="163"/>
    </row>
    <row r="18" spans="1:22" s="7" customFormat="1" ht="16.5" customHeight="1" x14ac:dyDescent="0.25">
      <c r="A18" s="63">
        <v>6</v>
      </c>
      <c r="B18" s="173" t="s">
        <v>167</v>
      </c>
      <c r="C18" s="174">
        <v>1501</v>
      </c>
      <c r="D18" s="175">
        <v>105</v>
      </c>
      <c r="E18" s="175">
        <v>0</v>
      </c>
      <c r="F18" s="176">
        <f t="shared" si="1"/>
        <v>1606</v>
      </c>
      <c r="G18" s="178">
        <v>1286</v>
      </c>
      <c r="H18" s="178">
        <v>375</v>
      </c>
      <c r="I18" s="178">
        <v>312</v>
      </c>
      <c r="J18" s="177">
        <v>22</v>
      </c>
      <c r="K18" s="177">
        <v>57</v>
      </c>
      <c r="L18" s="177"/>
      <c r="M18" s="179">
        <f>SUM(G18:K18)</f>
        <v>2052</v>
      </c>
      <c r="N18" s="179">
        <f t="shared" si="0"/>
        <v>446</v>
      </c>
      <c r="O18" s="179">
        <f>ROUND(N18/$N$24*$O$12,0)</f>
        <v>104697</v>
      </c>
      <c r="Q18" s="163"/>
    </row>
    <row r="19" spans="1:22" s="7" customFormat="1" ht="18" customHeight="1" x14ac:dyDescent="0.25">
      <c r="A19" s="54">
        <v>7</v>
      </c>
      <c r="B19" s="173" t="s">
        <v>168</v>
      </c>
      <c r="C19" s="174">
        <v>1570.5</v>
      </c>
      <c r="D19" s="175">
        <v>52.1</v>
      </c>
      <c r="E19" s="175">
        <v>0</v>
      </c>
      <c r="F19" s="176">
        <f t="shared" si="1"/>
        <v>1622.6</v>
      </c>
      <c r="G19" s="178">
        <v>1326</v>
      </c>
      <c r="H19" s="178">
        <v>382</v>
      </c>
      <c r="I19" s="178">
        <v>341</v>
      </c>
      <c r="J19" s="177">
        <v>12</v>
      </c>
      <c r="K19" s="177">
        <v>44</v>
      </c>
      <c r="L19" s="177"/>
      <c r="M19" s="179">
        <f>SUM(G19:K19)</f>
        <v>2105</v>
      </c>
      <c r="N19" s="179">
        <f t="shared" si="0"/>
        <v>482.40000000000009</v>
      </c>
      <c r="O19" s="179">
        <f>ROUND(N19/$N$24*$O$12,0)+1</f>
        <v>113243</v>
      </c>
      <c r="Q19" s="163"/>
    </row>
    <row r="20" spans="1:22" s="7" customFormat="1" ht="16.5" hidden="1" customHeight="1" x14ac:dyDescent="0.25">
      <c r="A20" s="63">
        <v>8</v>
      </c>
      <c r="B20" s="173" t="s">
        <v>33</v>
      </c>
      <c r="C20" s="174"/>
      <c r="D20" s="175"/>
      <c r="E20" s="175"/>
      <c r="F20" s="176">
        <f t="shared" si="1"/>
        <v>0</v>
      </c>
      <c r="G20" s="175"/>
      <c r="H20" s="175"/>
      <c r="I20" s="175"/>
      <c r="J20" s="175"/>
      <c r="K20" s="175"/>
      <c r="L20" s="175"/>
      <c r="M20" s="179">
        <f>SUM(G20:J20)</f>
        <v>0</v>
      </c>
      <c r="N20" s="179">
        <f t="shared" si="0"/>
        <v>0</v>
      </c>
      <c r="O20" s="179">
        <f t="shared" si="2"/>
        <v>0</v>
      </c>
    </row>
    <row r="21" spans="1:22" s="7" customFormat="1" ht="16.5" hidden="1" customHeight="1" x14ac:dyDescent="0.25">
      <c r="A21" s="63">
        <v>9</v>
      </c>
      <c r="B21" s="173" t="s">
        <v>34</v>
      </c>
      <c r="C21" s="174"/>
      <c r="D21" s="175"/>
      <c r="E21" s="175"/>
      <c r="F21" s="176">
        <f t="shared" si="1"/>
        <v>0</v>
      </c>
      <c r="G21" s="175"/>
      <c r="H21" s="175"/>
      <c r="I21" s="175"/>
      <c r="J21" s="175"/>
      <c r="K21" s="175"/>
      <c r="L21" s="175"/>
      <c r="M21" s="179">
        <f>SUM(G21:J21)</f>
        <v>0</v>
      </c>
      <c r="N21" s="179">
        <f t="shared" si="0"/>
        <v>0</v>
      </c>
      <c r="O21" s="179">
        <f t="shared" si="2"/>
        <v>0</v>
      </c>
    </row>
    <row r="22" spans="1:22" s="7" customFormat="1" ht="16.5" hidden="1" customHeight="1" x14ac:dyDescent="0.25">
      <c r="A22" s="54">
        <v>10</v>
      </c>
      <c r="B22" s="173" t="s">
        <v>35</v>
      </c>
      <c r="C22" s="174"/>
      <c r="D22" s="175"/>
      <c r="E22" s="175"/>
      <c r="F22" s="176">
        <f t="shared" si="1"/>
        <v>0</v>
      </c>
      <c r="G22" s="175"/>
      <c r="H22" s="175"/>
      <c r="I22" s="175"/>
      <c r="J22" s="175"/>
      <c r="K22" s="175"/>
      <c r="L22" s="175"/>
      <c r="M22" s="179">
        <f>SUM(G22:J22)</f>
        <v>0</v>
      </c>
      <c r="N22" s="179">
        <f t="shared" si="0"/>
        <v>0</v>
      </c>
      <c r="O22" s="179">
        <f t="shared" si="2"/>
        <v>0</v>
      </c>
    </row>
    <row r="23" spans="1:22" s="7" customFormat="1" ht="20.25" hidden="1" customHeight="1" x14ac:dyDescent="0.25">
      <c r="A23" s="63">
        <v>11</v>
      </c>
      <c r="B23" s="173" t="s">
        <v>36</v>
      </c>
      <c r="C23" s="174"/>
      <c r="D23" s="175"/>
      <c r="E23" s="175"/>
      <c r="F23" s="176">
        <f t="shared" si="1"/>
        <v>0</v>
      </c>
      <c r="G23" s="175"/>
      <c r="H23" s="175"/>
      <c r="I23" s="175"/>
      <c r="J23" s="175"/>
      <c r="K23" s="175"/>
      <c r="L23" s="175"/>
      <c r="M23" s="179">
        <f>SUM(G23:J23)</f>
        <v>0</v>
      </c>
      <c r="N23" s="179">
        <f t="shared" si="0"/>
        <v>0</v>
      </c>
      <c r="O23" s="179">
        <f t="shared" si="2"/>
        <v>0</v>
      </c>
    </row>
    <row r="24" spans="1:22" s="7" customFormat="1" ht="15.75" x14ac:dyDescent="0.25">
      <c r="A24" s="197" t="s">
        <v>0</v>
      </c>
      <c r="B24" s="197"/>
      <c r="C24" s="181">
        <f>SUM(C13:C23)</f>
        <v>14062.3</v>
      </c>
      <c r="D24" s="181">
        <f t="shared" ref="D24:O24" si="3">SUM(D13:D23)</f>
        <v>563.1</v>
      </c>
      <c r="E24" s="181">
        <f t="shared" si="3"/>
        <v>0</v>
      </c>
      <c r="F24" s="181">
        <f t="shared" si="3"/>
        <v>14625.4</v>
      </c>
      <c r="G24" s="181">
        <f t="shared" si="3"/>
        <v>7626</v>
      </c>
      <c r="H24" s="181">
        <f t="shared" si="3"/>
        <v>2240</v>
      </c>
      <c r="I24" s="181">
        <f t="shared" si="3"/>
        <v>4863</v>
      </c>
      <c r="J24" s="181">
        <f t="shared" si="3"/>
        <v>206</v>
      </c>
      <c r="K24" s="181">
        <f t="shared" si="3"/>
        <v>276</v>
      </c>
      <c r="L24" s="181"/>
      <c r="M24" s="182">
        <f t="shared" si="3"/>
        <v>15681</v>
      </c>
      <c r="N24" s="182">
        <f t="shared" si="3"/>
        <v>4259.8999999999996</v>
      </c>
      <c r="O24" s="182">
        <f t="shared" si="3"/>
        <v>1000000</v>
      </c>
    </row>
    <row r="25" spans="1:2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2"/>
      <c r="P25" s="7"/>
      <c r="Q25" s="7"/>
      <c r="R25" s="7"/>
      <c r="S25" s="7"/>
      <c r="T25" s="12"/>
      <c r="U25" s="12"/>
      <c r="V25" s="7"/>
    </row>
    <row r="26" spans="1:22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11"/>
      <c r="R26" s="7"/>
      <c r="S26" s="7"/>
      <c r="T26" s="7"/>
      <c r="U26" s="7"/>
      <c r="V26" s="7"/>
    </row>
    <row r="27" spans="1:22" ht="12.75" customHeight="1" x14ac:dyDescent="0.2"/>
  </sheetData>
  <mergeCells count="20">
    <mergeCell ref="N8:N10"/>
    <mergeCell ref="T1:V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M8:M10"/>
    <mergeCell ref="O8:O10"/>
    <mergeCell ref="K8:K10"/>
    <mergeCell ref="L8:L10"/>
    <mergeCell ref="A11:B11"/>
    <mergeCell ref="A12:B12"/>
    <mergeCell ref="A24:B24"/>
    <mergeCell ref="E8:E10"/>
    <mergeCell ref="F8:F10"/>
  </mergeCells>
  <pageMargins left="0.43307086614173229" right="0.15748031496062992" top="0.86614173228346458" bottom="0.11811023622047245" header="0.31496062992125984" footer="0.15748031496062992"/>
  <pageSetup paperSize="9" scale="65" firstPageNumber="165" orientation="landscape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2027</vt:lpstr>
      <vt:lpstr>ИНП2027</vt:lpstr>
      <vt:lpstr>ИБР2027</vt:lpstr>
      <vt:lpstr>Регион сбалансир 2027</vt:lpstr>
      <vt:lpstr>ИБР2027!Заголовки_для_печати</vt:lpstr>
      <vt:lpstr>ИНП2027!Заголовки_для_печати</vt:lpstr>
      <vt:lpstr>'Регион сбалансир 2027'!Заголовки_для_печати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сбалансир 2027'!Область_печати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Пользователь Windows</cp:lastModifiedBy>
  <cp:lastPrinted>2024-11-01T13:07:24Z</cp:lastPrinted>
  <dcterms:created xsi:type="dcterms:W3CDTF">1996-11-09T08:12:45Z</dcterms:created>
  <dcterms:modified xsi:type="dcterms:W3CDTF">2024-11-01T13:07:49Z</dcterms:modified>
</cp:coreProperties>
</file>