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165" windowWidth="9690" windowHeight="1170" tabRatio="817"/>
  </bookViews>
  <sheets>
    <sheet name="Район ФФПП 2026" sheetId="115" r:id="rId1"/>
    <sheet name="ИНП2026" sheetId="61" r:id="rId2"/>
    <sheet name="ИБР2026" sheetId="94" r:id="rId3"/>
    <sheet name="Район сбалансир 2026" sheetId="117" r:id="rId4"/>
  </sheets>
  <definedNames>
    <definedName name="_xlnm.Print_Titles" localSheetId="2">ИБР2026!$A:$B</definedName>
    <definedName name="_xlnm.Print_Titles" localSheetId="1">ИНП2026!$A:$B,ИНП2026!$3:$8</definedName>
    <definedName name="_xlnm.Print_Titles" localSheetId="3">'Район сбалансир 2026'!$A:$B</definedName>
    <definedName name="_xlnm.Print_Titles" localSheetId="0">'Район ФФПП 2026'!$A:$B</definedName>
    <definedName name="_xlnm.Print_Area" localSheetId="2">ИБР2026!$A$1:$AB$20</definedName>
    <definedName name="_xlnm.Print_Area" localSheetId="1">ИНП2026!$A$1:$U$20</definedName>
    <definedName name="_xlnm.Print_Area" localSheetId="3">'Район сбалансир 2026'!$A$1:$M$24</definedName>
    <definedName name="_xlnm.Print_Area" localSheetId="0">'Район ФФПП 2026'!$A$1:$P$23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M13" i="115" l="1"/>
  <c r="M12" i="117" l="1"/>
  <c r="F14" i="117" l="1"/>
  <c r="F15" i="117"/>
  <c r="F16" i="117"/>
  <c r="F17" i="117"/>
  <c r="F18" i="117"/>
  <c r="F19" i="117"/>
  <c r="F20" i="117"/>
  <c r="F21" i="117"/>
  <c r="F22" i="117"/>
  <c r="F23" i="117"/>
  <c r="F13" i="117"/>
  <c r="AI10" i="94" l="1"/>
  <c r="Q20" i="61" l="1"/>
  <c r="P20" i="61"/>
  <c r="C10" i="94" l="1"/>
  <c r="C11" i="94"/>
  <c r="C12" i="94"/>
  <c r="C13" i="94"/>
  <c r="C14" i="94"/>
  <c r="C15" i="94"/>
  <c r="C16" i="94"/>
  <c r="C17" i="94"/>
  <c r="C18" i="94"/>
  <c r="C19" i="94"/>
  <c r="C9" i="94"/>
  <c r="AN51" i="94" l="1"/>
  <c r="AJ51" i="94"/>
  <c r="AG51" i="94"/>
  <c r="AC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Z51" i="94" s="1"/>
  <c r="X32" i="94"/>
  <c r="V32" i="94"/>
  <c r="AJ20" i="94"/>
  <c r="AG20" i="94"/>
  <c r="AF20" i="94"/>
  <c r="AE20" i="94"/>
  <c r="J20" i="94"/>
  <c r="AO19" i="94"/>
  <c r="AL19" i="94"/>
  <c r="AI19" i="94"/>
  <c r="L19" i="94"/>
  <c r="AB19" i="94"/>
  <c r="AO18" i="94"/>
  <c r="AL18" i="94"/>
  <c r="AI18" i="94"/>
  <c r="L18" i="94"/>
  <c r="AD18" i="94"/>
  <c r="AO17" i="94"/>
  <c r="AL17" i="94"/>
  <c r="AI17" i="94"/>
  <c r="L17" i="94"/>
  <c r="AB17" i="94"/>
  <c r="AO16" i="94"/>
  <c r="AL16" i="94"/>
  <c r="AI16" i="94"/>
  <c r="L16" i="94"/>
  <c r="E16" i="94"/>
  <c r="AD16" i="94"/>
  <c r="AO15" i="94"/>
  <c r="AL15" i="94"/>
  <c r="AI15" i="94"/>
  <c r="L15" i="94"/>
  <c r="AB15" i="94"/>
  <c r="AO14" i="94"/>
  <c r="AL14" i="94"/>
  <c r="AI14" i="94"/>
  <c r="P14" i="94"/>
  <c r="L14" i="94"/>
  <c r="AD14" i="94"/>
  <c r="AO13" i="94"/>
  <c r="AL13" i="94"/>
  <c r="AI13" i="94"/>
  <c r="L13" i="94"/>
  <c r="AB13" i="94"/>
  <c r="AO12" i="94"/>
  <c r="AL12" i="94"/>
  <c r="AI12" i="94"/>
  <c r="AB12" i="94"/>
  <c r="P12" i="94"/>
  <c r="L12" i="94"/>
  <c r="E12" i="94"/>
  <c r="AD12" i="94"/>
  <c r="AO11" i="94"/>
  <c r="AL11" i="94"/>
  <c r="AI11" i="94"/>
  <c r="R11" i="94"/>
  <c r="L11" i="94"/>
  <c r="F11" i="94"/>
  <c r="G11" i="94" s="1"/>
  <c r="I11" i="94" s="1"/>
  <c r="Z11" i="94"/>
  <c r="AO10" i="94"/>
  <c r="AL10" i="94"/>
  <c r="L10" i="94"/>
  <c r="AB10" i="94"/>
  <c r="AO9" i="94"/>
  <c r="AL9" i="94"/>
  <c r="AI9" i="94"/>
  <c r="L9" i="94"/>
  <c r="P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AO20" i="94" l="1"/>
  <c r="L20" i="94"/>
  <c r="AI20" i="94"/>
  <c r="V51" i="94"/>
  <c r="X51" i="94"/>
  <c r="X12" i="94"/>
  <c r="T9" i="94"/>
  <c r="X9" i="94"/>
  <c r="AB9" i="94"/>
  <c r="T14" i="94"/>
  <c r="E9" i="94"/>
  <c r="T12" i="94"/>
  <c r="E14" i="94"/>
  <c r="E18" i="94"/>
  <c r="F10" i="94"/>
  <c r="G10" i="94" s="1"/>
  <c r="I10" i="94" s="1"/>
  <c r="N10" i="94"/>
  <c r="R10" i="94"/>
  <c r="V10" i="94"/>
  <c r="Z10" i="94"/>
  <c r="AD10" i="94"/>
  <c r="C20" i="94"/>
  <c r="F9" i="94"/>
  <c r="N9" i="94"/>
  <c r="R9" i="94"/>
  <c r="V9" i="94"/>
  <c r="Z9" i="94"/>
  <c r="AD9" i="94"/>
  <c r="AL20" i="94"/>
  <c r="E10" i="94"/>
  <c r="P10" i="94"/>
  <c r="T10" i="94"/>
  <c r="X10" i="94"/>
  <c r="AB11" i="94"/>
  <c r="X11" i="94"/>
  <c r="T11" i="94"/>
  <c r="P11" i="94"/>
  <c r="E11" i="94"/>
  <c r="N11" i="94"/>
  <c r="V11" i="94"/>
  <c r="AD11" i="94"/>
  <c r="F13" i="94"/>
  <c r="G13" i="94" s="1"/>
  <c r="I13" i="94" s="1"/>
  <c r="N13" i="94"/>
  <c r="R13" i="94"/>
  <c r="V13" i="94"/>
  <c r="Z13" i="94"/>
  <c r="AD13" i="94"/>
  <c r="X14" i="94"/>
  <c r="AB14" i="94"/>
  <c r="F15" i="94"/>
  <c r="G15" i="94" s="1"/>
  <c r="I15" i="94" s="1"/>
  <c r="N15" i="94"/>
  <c r="R15" i="94"/>
  <c r="V15" i="94"/>
  <c r="Z15" i="94"/>
  <c r="AD15" i="94"/>
  <c r="P16" i="94"/>
  <c r="T16" i="94"/>
  <c r="X16" i="94"/>
  <c r="AB16" i="94"/>
  <c r="F17" i="94"/>
  <c r="G17" i="94" s="1"/>
  <c r="I17" i="94" s="1"/>
  <c r="N17" i="94"/>
  <c r="R17" i="94"/>
  <c r="V17" i="94"/>
  <c r="Z17" i="94"/>
  <c r="AD17" i="94"/>
  <c r="P18" i="94"/>
  <c r="T18" i="94"/>
  <c r="X18" i="94"/>
  <c r="AB18" i="94"/>
  <c r="F19" i="94"/>
  <c r="G19" i="94" s="1"/>
  <c r="I19" i="94" s="1"/>
  <c r="N19" i="94"/>
  <c r="R19" i="94"/>
  <c r="V19" i="94"/>
  <c r="Z19" i="94"/>
  <c r="AD19" i="94"/>
  <c r="F12" i="94"/>
  <c r="G12" i="94" s="1"/>
  <c r="I12" i="94" s="1"/>
  <c r="N12" i="94"/>
  <c r="R12" i="94"/>
  <c r="V12" i="94"/>
  <c r="Z12" i="94"/>
  <c r="E13" i="94"/>
  <c r="P13" i="94"/>
  <c r="T13" i="94"/>
  <c r="X13" i="94"/>
  <c r="F14" i="94"/>
  <c r="G14" i="94" s="1"/>
  <c r="I14" i="94" s="1"/>
  <c r="N14" i="94"/>
  <c r="R14" i="94"/>
  <c r="V14" i="94"/>
  <c r="Z14" i="94"/>
  <c r="E15" i="94"/>
  <c r="P15" i="94"/>
  <c r="T15" i="94"/>
  <c r="X15" i="94"/>
  <c r="F16" i="94"/>
  <c r="G16" i="94" s="1"/>
  <c r="I16" i="94" s="1"/>
  <c r="N16" i="94"/>
  <c r="R16" i="94"/>
  <c r="V16" i="94"/>
  <c r="Z16" i="94"/>
  <c r="E17" i="94"/>
  <c r="P17" i="94"/>
  <c r="T17" i="94"/>
  <c r="X17" i="94"/>
  <c r="F18" i="94"/>
  <c r="G18" i="94" s="1"/>
  <c r="I18" i="94" s="1"/>
  <c r="N18" i="94"/>
  <c r="R18" i="94"/>
  <c r="V18" i="94"/>
  <c r="Z18" i="94"/>
  <c r="E19" i="94"/>
  <c r="P19" i="94"/>
  <c r="T19" i="94"/>
  <c r="X19" i="94"/>
  <c r="AP16" i="94" l="1"/>
  <c r="AB20" i="94"/>
  <c r="AP14" i="94"/>
  <c r="AQ14" i="94" s="1"/>
  <c r="X20" i="94"/>
  <c r="AP19" i="94"/>
  <c r="AP12" i="94"/>
  <c r="AQ12" i="94" s="1"/>
  <c r="T20" i="94"/>
  <c r="AP18" i="94"/>
  <c r="AQ18" i="94" s="1"/>
  <c r="P20" i="94"/>
  <c r="AQ16" i="94"/>
  <c r="AQ19" i="94"/>
  <c r="AP17" i="94"/>
  <c r="AP13" i="94"/>
  <c r="AD20" i="94"/>
  <c r="V20" i="94"/>
  <c r="N20" i="94"/>
  <c r="AP15" i="94"/>
  <c r="AP11" i="94"/>
  <c r="AP10" i="94"/>
  <c r="Z20" i="94"/>
  <c r="R20" i="94"/>
  <c r="F20" i="94"/>
  <c r="G9" i="94"/>
  <c r="E20" i="94"/>
  <c r="G20" i="94" l="1"/>
  <c r="I9" i="94"/>
  <c r="AQ10" i="94"/>
  <c r="AQ15" i="94"/>
  <c r="AQ13" i="94"/>
  <c r="AQ11" i="94"/>
  <c r="AQ17" i="94"/>
  <c r="I20" i="94" l="1"/>
  <c r="AP9" i="94"/>
  <c r="AP20" i="94" l="1"/>
  <c r="AR9" i="94" s="1"/>
  <c r="AQ9" i="94"/>
  <c r="AQ20" i="94" s="1"/>
  <c r="AR20" i="94" l="1"/>
  <c r="E23" i="115" s="1"/>
  <c r="AR18" i="94"/>
  <c r="AR14" i="94"/>
  <c r="AR16" i="94"/>
  <c r="AR12" i="94"/>
  <c r="AR19" i="94"/>
  <c r="AR10" i="94"/>
  <c r="AR15" i="94"/>
  <c r="AR13" i="94"/>
  <c r="AR11" i="94"/>
  <c r="AR17" i="94"/>
  <c r="E13" i="115" l="1"/>
  <c r="E14" i="115"/>
  <c r="E15" i="115"/>
  <c r="E16" i="115"/>
  <c r="E17" i="115"/>
  <c r="E18" i="115"/>
  <c r="E19" i="115"/>
  <c r="E20" i="115"/>
  <c r="E21" i="115"/>
  <c r="E22" i="115"/>
  <c r="E12" i="115"/>
  <c r="E24" i="117" l="1"/>
  <c r="G23" i="115" l="1"/>
  <c r="K14" i="117" l="1"/>
  <c r="L14" i="117" s="1"/>
  <c r="K15" i="117"/>
  <c r="L15" i="117" s="1"/>
  <c r="K16" i="117"/>
  <c r="L16" i="117" s="1"/>
  <c r="K17" i="117"/>
  <c r="L17" i="117" s="1"/>
  <c r="K18" i="117"/>
  <c r="L18" i="117" s="1"/>
  <c r="K19" i="117"/>
  <c r="L19" i="117" s="1"/>
  <c r="K20" i="117"/>
  <c r="L20" i="117" s="1"/>
  <c r="K21" i="117"/>
  <c r="L21" i="117" s="1"/>
  <c r="K22" i="117"/>
  <c r="L22" i="117" s="1"/>
  <c r="K23" i="117"/>
  <c r="L23" i="117" s="1"/>
  <c r="K13" i="117"/>
  <c r="L13" i="117" s="1"/>
  <c r="G24" i="117"/>
  <c r="H24" i="117"/>
  <c r="I24" i="117"/>
  <c r="J24" i="117"/>
  <c r="L24" i="117" l="1"/>
  <c r="M16" i="117" s="1"/>
  <c r="K24" i="117"/>
  <c r="F24" i="117"/>
  <c r="A2" i="117"/>
  <c r="M15" i="117" l="1"/>
  <c r="M14" i="117"/>
  <c r="M18" i="117"/>
  <c r="M19" i="117"/>
  <c r="M13" i="117"/>
  <c r="M22" i="117"/>
  <c r="M23" i="117"/>
  <c r="M17" i="117"/>
  <c r="M21" i="117"/>
  <c r="M20" i="117"/>
  <c r="S10" i="6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K16" i="61"/>
  <c r="K17" i="61"/>
  <c r="K18" i="61"/>
  <c r="K19" i="61"/>
  <c r="K9" i="61"/>
  <c r="M24" i="117" l="1"/>
  <c r="D24" i="117"/>
  <c r="I20" i="61" l="1"/>
  <c r="O9" i="61"/>
  <c r="C24" i="117" l="1"/>
  <c r="M11" i="115"/>
  <c r="C19" i="115"/>
  <c r="C20" i="115"/>
  <c r="C21" i="115"/>
  <c r="C22" i="115"/>
  <c r="S20" i="61" l="1"/>
  <c r="O10" i="61"/>
  <c r="O11" i="61"/>
  <c r="O12" i="61"/>
  <c r="O13" i="61"/>
  <c r="O14" i="61"/>
  <c r="O15" i="61"/>
  <c r="O16" i="61"/>
  <c r="O17" i="61"/>
  <c r="O18" i="61"/>
  <c r="O19" i="61"/>
  <c r="L20" i="61"/>
  <c r="G9" i="61"/>
  <c r="T9" i="61" s="1"/>
  <c r="F12" i="115" s="1"/>
  <c r="I12" i="115" s="1"/>
  <c r="G10" i="61"/>
  <c r="G11" i="61"/>
  <c r="G12" i="61"/>
  <c r="G13" i="61"/>
  <c r="G14" i="61"/>
  <c r="G15" i="61"/>
  <c r="G16" i="61"/>
  <c r="G17" i="61"/>
  <c r="G18" i="61"/>
  <c r="G19" i="61"/>
  <c r="C20" i="61"/>
  <c r="T14" i="61" l="1"/>
  <c r="F17" i="115" s="1"/>
  <c r="I17" i="115" s="1"/>
  <c r="T10" i="61"/>
  <c r="F13" i="115" s="1"/>
  <c r="I13" i="115" s="1"/>
  <c r="T12" i="61"/>
  <c r="F15" i="115" s="1"/>
  <c r="I15" i="115" s="1"/>
  <c r="T16" i="61"/>
  <c r="F19" i="115" s="1"/>
  <c r="I19" i="115" s="1"/>
  <c r="T18" i="61"/>
  <c r="F21" i="115" s="1"/>
  <c r="I21" i="115" s="1"/>
  <c r="T19" i="61"/>
  <c r="F22" i="115" s="1"/>
  <c r="I22" i="115" s="1"/>
  <c r="T17" i="61"/>
  <c r="F20" i="115" s="1"/>
  <c r="I20" i="115" s="1"/>
  <c r="T15" i="61"/>
  <c r="F18" i="115" s="1"/>
  <c r="I18" i="115" s="1"/>
  <c r="T13" i="61"/>
  <c r="F16" i="115" s="1"/>
  <c r="I16" i="115" s="1"/>
  <c r="T11" i="61"/>
  <c r="F14" i="115" s="1"/>
  <c r="I14" i="115" s="1"/>
  <c r="O20" i="61"/>
  <c r="I23" i="115" l="1"/>
  <c r="H16" i="115"/>
  <c r="H13" i="115"/>
  <c r="H15" i="115"/>
  <c r="H17" i="115"/>
  <c r="H19" i="115"/>
  <c r="H21" i="115"/>
  <c r="H14" i="115"/>
  <c r="H18" i="115"/>
  <c r="H22" i="115"/>
  <c r="H12" i="115"/>
  <c r="H20" i="115"/>
  <c r="C23" i="115"/>
  <c r="A2" i="115"/>
  <c r="H23" i="115" l="1"/>
  <c r="F23" i="115"/>
  <c r="K2" i="115" s="1"/>
  <c r="J18" i="115" l="1"/>
  <c r="J15" i="115"/>
  <c r="J22" i="115"/>
  <c r="J16" i="115"/>
  <c r="J13" i="115"/>
  <c r="J17" i="115"/>
  <c r="J12" i="115"/>
  <c r="J19" i="115"/>
  <c r="J20" i="115"/>
  <c r="J21" i="115"/>
  <c r="J14" i="115"/>
  <c r="K20" i="61"/>
  <c r="H20" i="61"/>
  <c r="J23" i="115" l="1"/>
  <c r="K20" i="115"/>
  <c r="K19" i="115"/>
  <c r="K16" i="115"/>
  <c r="K14" i="115"/>
  <c r="K12" i="115"/>
  <c r="K22" i="115"/>
  <c r="K21" i="115"/>
  <c r="K17" i="115"/>
  <c r="K15" i="115"/>
  <c r="K13" i="115"/>
  <c r="K18" i="115"/>
  <c r="D20" i="61"/>
  <c r="G20" i="61"/>
  <c r="K23" i="115" l="1"/>
  <c r="T20" i="61"/>
  <c r="U12" i="61" l="1"/>
  <c r="D15" i="115" s="1"/>
  <c r="U11" i="61"/>
  <c r="D14" i="115" s="1"/>
  <c r="U13" i="61"/>
  <c r="D16" i="115" s="1"/>
  <c r="U15" i="61"/>
  <c r="D18" i="115" s="1"/>
  <c r="U17" i="61"/>
  <c r="D20" i="115" s="1"/>
  <c r="U19" i="61"/>
  <c r="D22" i="115" s="1"/>
  <c r="U14" i="61"/>
  <c r="D17" i="115" s="1"/>
  <c r="U16" i="61"/>
  <c r="D19" i="115" s="1"/>
  <c r="U18" i="61"/>
  <c r="D21" i="115" s="1"/>
  <c r="U9" i="61"/>
  <c r="D12" i="115" s="1"/>
  <c r="U10" i="61"/>
  <c r="D13" i="115" s="1"/>
  <c r="U20" i="61"/>
  <c r="D23" i="115" s="1"/>
  <c r="L18" i="115" l="1"/>
  <c r="L15" i="115" l="1"/>
  <c r="L21" i="115"/>
  <c r="L12" i="115"/>
  <c r="L16" i="115"/>
  <c r="L20" i="115"/>
  <c r="L13" i="115"/>
  <c r="L17" i="115"/>
  <c r="L22" i="115"/>
  <c r="L19" i="115"/>
  <c r="L14" i="115"/>
  <c r="L23" i="115" l="1"/>
  <c r="M12" i="115" l="1"/>
  <c r="O12" i="115" s="1"/>
  <c r="M18" i="115"/>
  <c r="M14" i="115"/>
  <c r="M17" i="115"/>
  <c r="M16" i="115"/>
  <c r="M19" i="115"/>
  <c r="M22" i="115"/>
  <c r="M21" i="115"/>
  <c r="M15" i="115"/>
  <c r="M20" i="115"/>
  <c r="N12" i="115" l="1"/>
  <c r="M23" i="115"/>
  <c r="P12" i="115"/>
  <c r="O13" i="115"/>
  <c r="P13" i="115" s="1"/>
  <c r="N13" i="115"/>
  <c r="O21" i="115"/>
  <c r="P21" i="115" s="1"/>
  <c r="N21" i="115"/>
  <c r="O17" i="115"/>
  <c r="P17" i="115" s="1"/>
  <c r="N17" i="115"/>
  <c r="O18" i="115"/>
  <c r="P18" i="115" s="1"/>
  <c r="N18" i="115"/>
  <c r="O22" i="115"/>
  <c r="P22" i="115" s="1"/>
  <c r="N22" i="115"/>
  <c r="O14" i="115"/>
  <c r="P14" i="115" s="1"/>
  <c r="N14" i="115"/>
  <c r="O20" i="115"/>
  <c r="P20" i="115" s="1"/>
  <c r="N20" i="115"/>
  <c r="O19" i="115"/>
  <c r="P19" i="115" s="1"/>
  <c r="N19" i="115"/>
  <c r="O15" i="115"/>
  <c r="P15" i="115" s="1"/>
  <c r="N15" i="115"/>
  <c r="O16" i="115"/>
  <c r="P16" i="115" s="1"/>
  <c r="N16" i="115"/>
  <c r="N23" i="115" l="1"/>
  <c r="O23" i="115"/>
  <c r="P23" i="115"/>
</calcChain>
</file>

<file path=xl/sharedStrings.xml><?xml version="1.0" encoding="utf-8"?>
<sst xmlns="http://schemas.openxmlformats.org/spreadsheetml/2006/main" count="336" uniqueCount="190">
  <si>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</si>
  <si>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</si>
  <si>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</si>
  <si>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</si>
  <si>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</si>
  <si>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</si>
  <si>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</si>
  <si>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</si>
  <si>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</si>
  <si>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</si>
  <si>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</si>
  <si>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</si>
  <si>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</si>
  <si>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</si>
  <si>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</si>
  <si>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</si>
  <si>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</si>
  <si>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</si>
  <si>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</si>
  <si>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</si>
  <si>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</si>
  <si>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</si>
  <si>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</si>
  <si>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</si>
  <si>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</si>
  <si>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</si>
  <si>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</si>
  <si>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</si>
  <si>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</si>
  <si>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</si>
  <si>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</si>
  <si>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</si>
  <si>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</si>
  <si>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</si>
  <si>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</si>
  <si>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</si>
  <si>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</si>
  <si>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</si>
  <si>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</si>
  <si>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</si>
  <si>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</si>
  <si>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8</t>
  </si>
  <si>
    <t>Поселение 9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</si>
  <si>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</si>
  <si>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</si>
  <si>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</si>
  <si>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</si>
  <si>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</si>
  <si>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</si>
  <si>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</si>
  <si>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</si>
  <si>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</si>
  <si>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</si>
  <si>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</si>
  <si>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</si>
  <si>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</si>
  <si>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</si>
  <si>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</si>
  <si>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</si>
  <si>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</si>
  <si>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</si>
  <si>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</si>
  <si>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</si>
  <si>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</si>
  <si>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</si>
  <si>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</si>
  <si>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</si>
  <si>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</si>
  <si>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</si>
  <si>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</si>
  <si>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</si>
  <si>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</si>
  <si>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</si>
  <si>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</si>
  <si>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</si>
  <si>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</si>
  <si>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</si>
  <si>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</si>
  <si>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</si>
  <si>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</si>
  <si>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</si>
  <si>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</si>
  <si>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</si>
  <si>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</si>
  <si>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</si>
  <si>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</si>
  <si>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</si>
  <si>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</si>
  <si>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</si>
  <si>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</si>
  <si>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</si>
  <si>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</si>
  <si>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</si>
  <si>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</si>
  <si>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</si>
  <si>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</si>
  <si>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</si>
  <si>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</si>
  <si>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</si>
  <si>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</si>
  <si>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>Доля недостающих средств в общей сумме муниципального района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</si>
  <si>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</si>
  <si>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</si>
  <si>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</si>
  <si>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(Районный фонд финансовой поддержки поселений)</t>
  </si>
  <si>
    <t>Сумма средств дотации на выравнивание бюджетной обеспеченности из Районного фонда финансовой поддержки поселений</t>
  </si>
  <si>
    <t>Расчетный объем нецелевых ресурсов с учетом налогового потенциала и средств Районного фонда финансовой поддержки поселений</t>
  </si>
  <si>
    <t>Расчетные доходы бюджета поселения с учетом средств Районного фонда финансовой поддержки поселений на 1 жителя</t>
  </si>
  <si>
    <t>Расчетный уровень бюджетной обеспеченности налоговым потенциалом и средствами Районным фондом финансовой поддержки поселений</t>
  </si>
  <si>
    <t>4а</t>
  </si>
  <si>
    <t>Дополнительный доходный потенциал в части дотаций из областного бюджета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</si>
  <si>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</si>
  <si>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</si>
  <si>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</si>
  <si>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4=1+2+3</t>
  </si>
  <si>
    <t>9=сумм(5:8)</t>
  </si>
  <si>
    <t>5=(4+4а)/3</t>
  </si>
  <si>
    <t>5а=(4+4а)/1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</si>
  <si>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</si>
  <si>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</si>
  <si>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</si>
  <si>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</si>
  <si>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t>Плановый пробег, тыс.км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</si>
  <si>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</si>
  <si>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</si>
  <si>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</si>
  <si>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</si>
  <si>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</si>
  <si>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</si>
  <si>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</si>
  <si>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</si>
  <si>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</si>
  <si>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>Количество функционирующих  подразделений муниципальной  пожарной охраны, шт.</t>
  </si>
  <si>
    <t xml:space="preserve">Расходы на содержание подразделений муниципальной  пожарной охраны  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</si>
  <si>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</si>
  <si>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</si>
  <si>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Расходы на оплату взноса на капремонт общего имущества в многоквартирных домах, находящихся в мун.собственности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</si>
  <si>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</si>
  <si>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</si>
  <si>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</si>
  <si>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</si>
  <si>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</si>
  <si>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</si>
  <si>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</si>
  <si>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</si>
  <si>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</si>
  <si>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</si>
  <si>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</si>
  <si>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</si>
  <si>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</si>
  <si>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</si>
  <si>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</si>
  <si>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</si>
  <si>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</si>
  <si>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</si>
  <si>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</si>
  <si>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</si>
  <si>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</si>
  <si>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</si>
  <si>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</si>
  <si>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</si>
  <si>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</si>
  <si>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А</t>
  </si>
  <si>
    <t>7=5×6/1000×1%</t>
  </si>
  <si>
    <t>6=(5/1)/(5общ/1общ)</t>
  </si>
  <si>
    <t>Превышение оценки расходов над доходами</t>
  </si>
  <si>
    <t>Дотация на поддержку мер по обеспечению сбалансированности бюджетов за счет субвенции из областного бюджета</t>
  </si>
  <si>
    <t>10=9-4, если 4&lt;9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</si>
  <si>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</si>
  <si>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</si>
  <si>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 xml:space="preserve">иных дотаций (Рз 1402, ВР 512) [или иных межбюджетных трансфертов (Рз 14 03, ВР 540)] </t>
  </si>
  <si>
    <t>предоставляемых за счет средств бюджета муниципального района</t>
  </si>
  <si>
    <t>Мирнинское сельское пос.</t>
  </si>
  <si>
    <t>Глинновское сельское пос.</t>
  </si>
  <si>
    <t>Гордеевское сельское пос.</t>
  </si>
  <si>
    <t>Петровобудское сельское пос.</t>
  </si>
  <si>
    <t>Рудневоробьевское сел. пос.</t>
  </si>
  <si>
    <t>Творишинское сел.пос.</t>
  </si>
  <si>
    <t>Уношевское сельское пос.</t>
  </si>
  <si>
    <t>Социально значимые и первоочередные расходы по полномочию 1 управление</t>
  </si>
  <si>
    <t>Социально значимые и первоочередные расходы по полномочию 2национальная безопасность</t>
  </si>
  <si>
    <t>Социально значимые и первоочередные расходы по полномочию …Физкультура и спорт</t>
  </si>
  <si>
    <t>Социально значимые и первоочередные расходы по полномочию n благоустройство</t>
  </si>
  <si>
    <t>РАСЧЕТ индекса бюджетных расходов на 2020 год</t>
  </si>
  <si>
    <t>Численность постоянного населения на 1.01.2018, чел.</t>
  </si>
  <si>
    <t>за счет средств бюджета муниципального района на 2020 год</t>
  </si>
  <si>
    <t xml:space="preserve">Доля налога в оценке ФОТ (2020 год) </t>
  </si>
  <si>
    <t>на выравнивание бюджетной обеспеченности бюджетам поселений, на 2026 год</t>
  </si>
  <si>
    <t>Численность постоянного населения на 01.01.2023, чел.</t>
  </si>
  <si>
    <t>РАСЧЕТ индекса налогового потенциала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</si>
</sst>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b/>
      <vertAlign val="superscript"/>
      <sz val="9"/>
      <name val="Times New Roman"/>
      <family val="1"/>
      <charset val="204"/>
    </font>
    <font>
      <i/>
      <vertAlign val="superscript"/>
      <sz val="9"/>
      <name val="Times New Roman Cyr"/>
      <charset val="204"/>
    </font>
    <font>
      <sz val="1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6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4" fillId="0" borderId="1" xfId="2" applyNumberFormat="1" applyFont="1" applyFill="1" applyBorder="1" applyAlignment="1">
      <alignment wrapText="1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7" fontId="26" fillId="4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0" fontId="47" fillId="2" borderId="1" xfId="2" applyFont="1" applyFill="1" applyBorder="1" applyAlignment="1">
      <alignment horizontal="center" vertical="center" wrapText="1"/>
    </xf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48" fillId="7" borderId="0" xfId="2" applyFont="1" applyFill="1" applyBorder="1" applyAlignment="1">
      <alignment horizontal="center"/>
    </xf>
    <xf numFmtId="173" fontId="24" fillId="0" borderId="1" xfId="2" applyNumberFormat="1" applyFont="1" applyFill="1" applyBorder="1" applyProtection="1">
      <protection locked="0"/>
    </xf>
    <xf numFmtId="166" fontId="51" fillId="0" borderId="0" xfId="2" applyNumberFormat="1" applyFont="1"/>
    <xf numFmtId="0" fontId="51" fillId="0" borderId="0" xfId="2" applyFont="1"/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0" fontId="19" fillId="3" borderId="1" xfId="2" applyFont="1" applyFill="1" applyBorder="1" applyAlignment="1">
      <alignment horizontal="center" wrapText="1"/>
    </xf>
    <xf numFmtId="168" fontId="46" fillId="2" borderId="1" xfId="2" applyNumberFormat="1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72" fontId="46" fillId="2" borderId="1" xfId="2" applyNumberFormat="1" applyFont="1" applyFill="1" applyBorder="1"/>
    <xf numFmtId="170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167" fontId="30" fillId="0" borderId="1" xfId="2" applyNumberFormat="1" applyFont="1" applyFill="1" applyBorder="1" applyAlignment="1">
      <alignment horizontal="right" wrapText="1"/>
    </xf>
    <xf numFmtId="173" fontId="30" fillId="0" borderId="1" xfId="2" applyNumberFormat="1" applyFont="1" applyFill="1" applyBorder="1" applyAlignment="1">
      <alignment horizontal="right" wrapText="1"/>
    </xf>
    <xf numFmtId="173" fontId="46" fillId="2" borderId="1" xfId="2" applyNumberFormat="1" applyFont="1" applyFill="1" applyBorder="1"/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324970</xdr:colOff>
      <xdr:row>2</xdr:row>
      <xdr:rowOff>113735</xdr:rowOff>
    </xdr:from>
    <xdr:to>
      <xdr:col>10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11</xdr:col>
      <xdr:colOff>760319</xdr:colOff>
      <xdr:row>2</xdr:row>
      <xdr:rowOff>177923</xdr:rowOff>
    </xdr:from>
    <xdr:to>
      <xdr:col>13</xdr:col>
      <xdr:colOff>526678</xdr:colOff>
      <xdr:row>5</xdr:row>
      <xdr:rowOff>56030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10128437" y="637364"/>
          <a:ext cx="1906682" cy="550460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Районный фонд финансовой поддержки поселений</a:t>
          </a:r>
        </a:p>
      </xdr:txBody>
    </xdr:sp>
    <xdr:clientData/>
  </xdr:twoCellAnchor>
  <xdr:twoCellAnchor>
    <xdr:from>
      <xdr:col>13</xdr:col>
      <xdr:colOff>845485</xdr:colOff>
      <xdr:row>2</xdr:row>
      <xdr:rowOff>117411</xdr:rowOff>
    </xdr:from>
    <xdr:to>
      <xdr:col>15</xdr:col>
      <xdr:colOff>488578</xdr:colOff>
      <xdr:row>5</xdr:row>
      <xdr:rowOff>44824</xdr:rowOff>
    </xdr:to>
    <xdr:sp macro="" textlink="">
      <xdr:nvSpPr>
        <xdr:cNvPr id="4" name="AutoShape 81"/>
        <xdr:cNvSpPr>
          <a:spLocks noChangeArrowheads="1"/>
        </xdr:cNvSpPr>
      </xdr:nvSpPr>
      <xdr:spPr bwMode="auto">
        <a:xfrm>
          <a:off x="11468661" y="576852"/>
          <a:ext cx="1884270" cy="599766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Суммарный объем дотаций поселениям за счет субвенций из областного бюдежта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28</xdr:row>
      <xdr:rowOff>447675</xdr:rowOff>
    </xdr:from>
    <xdr:to>
      <xdr:col>5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28</xdr:row>
      <xdr:rowOff>457200</xdr:rowOff>
    </xdr:from>
    <xdr:to>
      <xdr:col>6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28</xdr:row>
      <xdr:rowOff>447675</xdr:rowOff>
    </xdr:from>
    <xdr:to>
      <xdr:col>4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28</xdr:row>
      <xdr:rowOff>352425</xdr:rowOff>
    </xdr:from>
    <xdr:to>
      <xdr:col>13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28</xdr:row>
      <xdr:rowOff>457200</xdr:rowOff>
    </xdr:from>
    <xdr:to>
      <xdr:col>8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28</xdr:row>
      <xdr:rowOff>504825</xdr:rowOff>
    </xdr:from>
    <xdr:to>
      <xdr:col>16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28</xdr:row>
      <xdr:rowOff>504825</xdr:rowOff>
    </xdr:from>
    <xdr:to>
      <xdr:col>18</xdr:col>
      <xdr:colOff>1162050</xdr:colOff>
      <xdr:row>29</xdr:row>
      <xdr:rowOff>133350</xdr:rowOff>
    </xdr:to>
    <xdr:sp macro="" textlink="">
      <xdr:nvSpPr>
        <xdr:cNvPr id="22" name="AutoShape 33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28</xdr:row>
      <xdr:rowOff>504825</xdr:rowOff>
    </xdr:from>
    <xdr:to>
      <xdr:col>20</xdr:col>
      <xdr:colOff>1171575</xdr:colOff>
      <xdr:row>29</xdr:row>
      <xdr:rowOff>133350</xdr:rowOff>
    </xdr:to>
    <xdr:sp macro="" textlink="">
      <xdr:nvSpPr>
        <xdr:cNvPr id="23" name="AutoShape 34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28</xdr:row>
      <xdr:rowOff>447675</xdr:rowOff>
    </xdr:from>
    <xdr:to>
      <xdr:col>5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28</xdr:row>
      <xdr:rowOff>457200</xdr:rowOff>
    </xdr:from>
    <xdr:to>
      <xdr:col>6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28</xdr:row>
      <xdr:rowOff>447675</xdr:rowOff>
    </xdr:from>
    <xdr:to>
      <xdr:col>4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28</xdr:row>
      <xdr:rowOff>352425</xdr:rowOff>
    </xdr:from>
    <xdr:to>
      <xdr:col>13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28</xdr:row>
      <xdr:rowOff>457200</xdr:rowOff>
    </xdr:from>
    <xdr:to>
      <xdr:col>8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28</xdr:row>
      <xdr:rowOff>504825</xdr:rowOff>
    </xdr:from>
    <xdr:to>
      <xdr:col>16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28</xdr:row>
      <xdr:rowOff>504825</xdr:rowOff>
    </xdr:from>
    <xdr:to>
      <xdr:col>18</xdr:col>
      <xdr:colOff>1162050</xdr:colOff>
      <xdr:row>29</xdr:row>
      <xdr:rowOff>133350</xdr:rowOff>
    </xdr:to>
    <xdr:sp macro="" textlink="">
      <xdr:nvSpPr>
        <xdr:cNvPr id="33" name="AutoShape 44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28</xdr:row>
      <xdr:rowOff>504825</xdr:rowOff>
    </xdr:from>
    <xdr:to>
      <xdr:col>20</xdr:col>
      <xdr:colOff>1171575</xdr:colOff>
      <xdr:row>29</xdr:row>
      <xdr:rowOff>133350</xdr:rowOff>
    </xdr:to>
    <xdr:sp macro="" textlink="">
      <xdr:nvSpPr>
        <xdr:cNvPr id="34" name="AutoShape 45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35" name="AutoShape 24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36" name="AutoShape 25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37" name="AutoShape 26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38" name="AutoShape 27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39" name="AutoShape 28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0" name="AutoShape 29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1" name="AutoShape 30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2" name="AutoShape 3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43" name="AutoShape 32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44" name="AutoShape 35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45" name="AutoShape 36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46" name="AutoShape 37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47" name="AutoShape 38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48" name="AutoShape 39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9" name="AutoShape 40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50" name="AutoShape 4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51" name="AutoShape 42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52" name="AutoShape 43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53" name="AutoShape 28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54" name="AutoShape 39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55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56" name="AutoShape 25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57" name="AutoShape 26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58" name="AutoShape 27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59" name="AutoShape 28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60" name="AutoShape 29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1" name="AutoShape 30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2" name="AutoShape 3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63" name="AutoShape 32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64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65" name="AutoShape 36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66" name="AutoShape 37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67" name="AutoShape 38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68" name="AutoShape 39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69" name="AutoShape 40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70" name="AutoShape 4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71" name="AutoShape 42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72" name="AutoShape 43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73" name="AutoShape 28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74" name="AutoShape 39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505239</xdr:colOff>
      <xdr:row>2</xdr:row>
      <xdr:rowOff>115958</xdr:rowOff>
    </xdr:from>
    <xdr:to>
      <xdr:col>12</xdr:col>
      <xdr:colOff>829278</xdr:colOff>
      <xdr:row>5</xdr:row>
      <xdr:rowOff>190500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10046804" y="571501"/>
          <a:ext cx="2460952" cy="720586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G25"/>
  <sheetViews>
    <sheetView tabSelected="1" zoomScaleNormal="100" zoomScaleSheetLayoutView="85" workbookViewId="0">
      <selection activeCell="M14" sqref="M14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4.1640625" style="1" customWidth="1"/>
    <col min="6" max="6" width="16.1640625" style="1" customWidth="1"/>
    <col min="7" max="7" width="15.1640625" style="1" customWidth="1"/>
    <col min="8" max="8" width="14.5" style="1" customWidth="1"/>
    <col min="9" max="9" width="12.83203125" style="1" hidden="1" customWidth="1"/>
    <col min="10" max="10" width="19.1640625" style="1" hidden="1" customWidth="1"/>
    <col min="11" max="11" width="16" style="1" customWidth="1"/>
    <col min="12" max="12" width="14.6640625" style="1" customWidth="1"/>
    <col min="13" max="13" width="22.83203125" style="1" customWidth="1"/>
    <col min="14" max="14" width="19.1640625" style="1" customWidth="1"/>
    <col min="15" max="15" width="20" style="1" customWidth="1"/>
    <col min="16" max="16" width="18.33203125" style="1" customWidth="1"/>
    <col min="17" max="33" width="8.83203125" style="7"/>
    <col min="34" max="16384" width="8.83203125" style="1"/>
  </cols>
  <sheetData>
    <row r="1" spans="1:33" s="83" customFormat="1" ht="18.75" x14ac:dyDescent="0.3">
      <c r="A1" s="80"/>
      <c r="B1" s="81"/>
      <c r="C1" s="82"/>
      <c r="L1" s="84"/>
      <c r="O1" s="86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</row>
    <row r="2" spans="1:33" s="83" customFormat="1" ht="17.649999999999999" customHeight="1" x14ac:dyDescent="0.35">
      <c r="A2" s="163">
        <f ca="1">NOW()</f>
        <v>45233.596441319445</v>
      </c>
      <c r="B2" s="163"/>
      <c r="C2" s="112" t="s">
        <v>99</v>
      </c>
      <c r="D2" s="110"/>
      <c r="E2" s="110"/>
      <c r="F2" s="110"/>
      <c r="G2" s="110"/>
      <c r="H2" s="110"/>
      <c r="I2" s="110"/>
      <c r="J2" s="88"/>
      <c r="K2" s="89">
        <f>(F23+O2+M2)/(F23+O2)</f>
        <v>1.248011259711191</v>
      </c>
      <c r="L2" s="88"/>
      <c r="M2" s="90">
        <v>2000</v>
      </c>
      <c r="N2" s="91"/>
      <c r="O2" s="90">
        <v>545</v>
      </c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</row>
    <row r="3" spans="1:33" s="83" customFormat="1" ht="17.649999999999999" customHeight="1" x14ac:dyDescent="0.35">
      <c r="A3" s="108"/>
      <c r="B3" s="108"/>
      <c r="C3" s="112" t="s">
        <v>187</v>
      </c>
      <c r="D3" s="110"/>
      <c r="E3" s="110"/>
      <c r="F3" s="110"/>
      <c r="G3" s="110"/>
      <c r="H3" s="110"/>
      <c r="I3" s="110"/>
      <c r="J3" s="88"/>
      <c r="K3" s="87"/>
      <c r="L3" s="87"/>
      <c r="M3" s="87"/>
      <c r="N3" s="91"/>
      <c r="O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</row>
    <row r="4" spans="1:33" s="83" customFormat="1" ht="17.649999999999999" customHeight="1" x14ac:dyDescent="0.35">
      <c r="A4" s="108"/>
      <c r="B4" s="108"/>
      <c r="C4" s="112" t="s">
        <v>171</v>
      </c>
      <c r="D4" s="110"/>
      <c r="E4" s="110"/>
      <c r="F4" s="110"/>
      <c r="G4" s="110"/>
      <c r="H4" s="110"/>
      <c r="I4" s="110"/>
      <c r="J4" s="88"/>
      <c r="K4" s="87"/>
      <c r="L4" s="87"/>
      <c r="M4" s="87"/>
      <c r="N4" s="91"/>
      <c r="O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</row>
    <row r="5" spans="1:33" s="83" customFormat="1" ht="17.649999999999999" customHeight="1" x14ac:dyDescent="0.35">
      <c r="A5" s="108"/>
      <c r="B5" s="108"/>
      <c r="C5" s="112" t="s">
        <v>104</v>
      </c>
      <c r="D5" s="110"/>
      <c r="E5" s="110"/>
      <c r="F5" s="110"/>
      <c r="G5" s="110"/>
      <c r="H5" s="110"/>
      <c r="I5" s="110"/>
      <c r="J5" s="88"/>
      <c r="K5" s="87"/>
      <c r="L5" s="87"/>
      <c r="M5" s="87"/>
      <c r="N5" s="91"/>
      <c r="O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</row>
    <row r="6" spans="1:33" s="83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111"/>
      <c r="J6" s="92"/>
      <c r="K6" s="87"/>
      <c r="L6" s="92"/>
      <c r="M6" s="92"/>
      <c r="N6" s="92"/>
      <c r="O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</row>
    <row r="7" spans="1:33" s="83" customFormat="1" ht="13.15" customHeight="1" x14ac:dyDescent="0.2">
      <c r="A7" s="164" t="s">
        <v>1</v>
      </c>
      <c r="B7" s="164" t="s">
        <v>2</v>
      </c>
      <c r="C7" s="165" t="s">
        <v>188</v>
      </c>
      <c r="D7" s="164" t="s">
        <v>3</v>
      </c>
      <c r="E7" s="164" t="s">
        <v>21</v>
      </c>
      <c r="F7" s="164" t="s">
        <v>19</v>
      </c>
      <c r="G7" s="164" t="s">
        <v>110</v>
      </c>
      <c r="H7" s="162" t="s">
        <v>22</v>
      </c>
      <c r="I7" s="164" t="s">
        <v>18</v>
      </c>
      <c r="J7" s="164" t="s">
        <v>101</v>
      </c>
      <c r="K7" s="164" t="s">
        <v>20</v>
      </c>
      <c r="L7" s="164" t="s">
        <v>100</v>
      </c>
      <c r="M7" s="10">
        <v>1</v>
      </c>
      <c r="N7" s="164" t="s">
        <v>108</v>
      </c>
      <c r="O7" s="162" t="s">
        <v>106</v>
      </c>
      <c r="P7" s="162" t="s">
        <v>107</v>
      </c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</row>
    <row r="8" spans="1:33" s="83" customFormat="1" ht="13.15" customHeight="1" x14ac:dyDescent="0.2">
      <c r="A8" s="164"/>
      <c r="B8" s="164"/>
      <c r="C8" s="165"/>
      <c r="D8" s="164"/>
      <c r="E8" s="164"/>
      <c r="F8" s="164"/>
      <c r="G8" s="164"/>
      <c r="H8" s="162"/>
      <c r="I8" s="164"/>
      <c r="J8" s="164"/>
      <c r="K8" s="164"/>
      <c r="L8" s="164"/>
      <c r="M8" s="162" t="s">
        <v>105</v>
      </c>
      <c r="N8" s="164"/>
      <c r="O8" s="162"/>
      <c r="P8" s="162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</row>
    <row r="9" spans="1:33" s="83" customFormat="1" ht="112.5" customHeight="1" x14ac:dyDescent="0.2">
      <c r="A9" s="164"/>
      <c r="B9" s="164"/>
      <c r="C9" s="165"/>
      <c r="D9" s="164"/>
      <c r="E9" s="164"/>
      <c r="F9" s="164"/>
      <c r="G9" s="164"/>
      <c r="H9" s="162"/>
      <c r="I9" s="164"/>
      <c r="J9" s="164"/>
      <c r="K9" s="164"/>
      <c r="L9" s="164"/>
      <c r="M9" s="167"/>
      <c r="N9" s="164"/>
      <c r="O9" s="162"/>
      <c r="P9" s="162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</row>
    <row r="10" spans="1:33" s="93" customFormat="1" ht="27" customHeight="1" x14ac:dyDescent="0.2">
      <c r="A10" s="168" t="s">
        <v>38</v>
      </c>
      <c r="B10" s="169"/>
      <c r="C10" s="21">
        <v>1</v>
      </c>
      <c r="D10" s="21">
        <v>2</v>
      </c>
      <c r="E10" s="21">
        <v>3</v>
      </c>
      <c r="F10" s="21">
        <v>4</v>
      </c>
      <c r="G10" s="21" t="s">
        <v>109</v>
      </c>
      <c r="H10" s="21" t="s">
        <v>116</v>
      </c>
      <c r="I10" s="21" t="s">
        <v>117</v>
      </c>
      <c r="J10" s="21" t="s">
        <v>164</v>
      </c>
      <c r="K10" s="21" t="s">
        <v>168</v>
      </c>
      <c r="L10" s="21" t="s">
        <v>17</v>
      </c>
      <c r="M10" s="21" t="s">
        <v>39</v>
      </c>
      <c r="N10" s="21" t="s">
        <v>36</v>
      </c>
      <c r="O10" s="21" t="s">
        <v>94</v>
      </c>
      <c r="P10" s="21" t="s">
        <v>95</v>
      </c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</row>
    <row r="11" spans="1:33" s="83" customFormat="1" ht="25.5" x14ac:dyDescent="0.2">
      <c r="A11" s="170"/>
      <c r="B11" s="171"/>
      <c r="C11" s="98" t="s">
        <v>37</v>
      </c>
      <c r="D11" s="98" t="s">
        <v>12</v>
      </c>
      <c r="E11" s="98" t="s">
        <v>13</v>
      </c>
      <c r="F11" s="99"/>
      <c r="G11" s="99"/>
      <c r="H11" s="100"/>
      <c r="I11" s="100"/>
      <c r="J11" s="100"/>
      <c r="K11" s="98"/>
      <c r="L11" s="100"/>
      <c r="M11" s="101">
        <f>ROUND(M2*M7,0)</f>
        <v>2000</v>
      </c>
      <c r="N11" s="102"/>
      <c r="O11" s="103"/>
      <c r="P11" s="103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</row>
    <row r="12" spans="1:33" s="7" customFormat="1" ht="18" customHeight="1" x14ac:dyDescent="0.25">
      <c r="A12" s="104">
        <v>1</v>
      </c>
      <c r="B12" s="18" t="s">
        <v>172</v>
      </c>
      <c r="C12" s="114">
        <v>1576</v>
      </c>
      <c r="D12" s="14">
        <f>ИНП2026!U9</f>
        <v>0.40721000000000002</v>
      </c>
      <c r="E12" s="14">
        <f>ИБР2026!AR9</f>
        <v>1.29013</v>
      </c>
      <c r="F12" s="16">
        <f>ИНП2026!T9</f>
        <v>492</v>
      </c>
      <c r="G12" s="16">
        <v>70</v>
      </c>
      <c r="H12" s="17">
        <f>(F12+G12)/E12</f>
        <v>435.61501554106951</v>
      </c>
      <c r="I12" s="20">
        <f>(F12+G12)/C12</f>
        <v>0.35659898477157359</v>
      </c>
      <c r="J12" s="13">
        <f>ROUND((H12/C12)/($H$23/$C$23),5)</f>
        <v>0.22847999999999999</v>
      </c>
      <c r="K12" s="114">
        <f>IF(J12&lt;$K$2,$K$2*($K$2-J12)*E12*C12,0)</f>
        <v>2587.0733197259551</v>
      </c>
      <c r="L12" s="15">
        <f>K12/$K$23</f>
        <v>0.30104296080994514</v>
      </c>
      <c r="M12" s="118">
        <f t="shared" ref="M12:M22" si="0">ROUND($M$11*L12/$L$23,0)</f>
        <v>602</v>
      </c>
      <c r="N12" s="13">
        <f>J12+M12/(C12*E12*$K$2)</f>
        <v>0.46572021026630639</v>
      </c>
      <c r="O12" s="118">
        <f>ROUND((H12+M12),1)</f>
        <v>1037.5999999999999</v>
      </c>
      <c r="P12" s="120">
        <f>ROUND(O12/C12,3)</f>
        <v>0.65800000000000003</v>
      </c>
    </row>
    <row r="13" spans="1:33" s="7" customFormat="1" ht="16.5" x14ac:dyDescent="0.25">
      <c r="A13" s="105">
        <v>2</v>
      </c>
      <c r="B13" s="18" t="s">
        <v>173</v>
      </c>
      <c r="C13" s="114">
        <v>734</v>
      </c>
      <c r="D13" s="14">
        <f>ИНП2026!U10</f>
        <v>1.3934899999999999</v>
      </c>
      <c r="E13" s="14">
        <f>ИБР2026!AR10</f>
        <v>1.3305400000000001</v>
      </c>
      <c r="F13" s="16">
        <f>ИНП2026!T10</f>
        <v>784.13</v>
      </c>
      <c r="G13" s="16">
        <v>17</v>
      </c>
      <c r="H13" s="17">
        <f t="shared" ref="H13:H22" si="1">(F13+G13)/E13</f>
        <v>602.1089181835946</v>
      </c>
      <c r="I13" s="20">
        <f t="shared" ref="I13:I22" si="2">(F13+G13)/C13</f>
        <v>1.091457765667575</v>
      </c>
      <c r="J13" s="13">
        <f t="shared" ref="J13:J22" si="3">ROUND((H13/C13)/($H$23/$C$23),5)</f>
        <v>0.67806999999999995</v>
      </c>
      <c r="K13" s="114">
        <f t="shared" ref="K13:K22" si="4">IF(J13&lt;$K$2,$K$2*($K$2-J13)*E13*C13,0)</f>
        <v>694.66048748666901</v>
      </c>
      <c r="L13" s="15">
        <f t="shared" ref="L13:L22" si="5">K13/$K$23</f>
        <v>8.0833677312562108E-2</v>
      </c>
      <c r="M13" s="118">
        <f>ROUND($M$11*L13/$L$23,0)+1</f>
        <v>163</v>
      </c>
      <c r="N13" s="13">
        <f t="shared" ref="N13:N22" si="6">J13+M13/(C13*E13*$K$2)</f>
        <v>0.81180500725375138</v>
      </c>
      <c r="O13" s="118">
        <f t="shared" ref="O13:O22" si="7">ROUND((H13+M13),1)</f>
        <v>765.1</v>
      </c>
      <c r="P13" s="120">
        <f t="shared" ref="P13:P22" si="8">ROUND(O13/C13,3)</f>
        <v>1.042</v>
      </c>
    </row>
    <row r="14" spans="1:33" s="7" customFormat="1" ht="16.5" customHeight="1" x14ac:dyDescent="0.25">
      <c r="A14" s="105">
        <v>3</v>
      </c>
      <c r="B14" s="18" t="s">
        <v>174</v>
      </c>
      <c r="C14" s="114">
        <v>3224</v>
      </c>
      <c r="D14" s="14">
        <f>ИНП2026!U11</f>
        <v>1.32657</v>
      </c>
      <c r="E14" s="14">
        <f>ИБР2026!AR11</f>
        <v>0.39679999999999999</v>
      </c>
      <c r="F14" s="16">
        <f>ИНП2026!T11</f>
        <v>3278.7799999999997</v>
      </c>
      <c r="G14" s="16">
        <v>38</v>
      </c>
      <c r="H14" s="17">
        <f t="shared" si="1"/>
        <v>8358.8205645161288</v>
      </c>
      <c r="I14" s="20">
        <f t="shared" si="2"/>
        <v>1.0287779156327543</v>
      </c>
      <c r="J14" s="13">
        <f t="shared" si="3"/>
        <v>2.1431100000000001</v>
      </c>
      <c r="K14" s="114">
        <f t="shared" si="4"/>
        <v>0</v>
      </c>
      <c r="L14" s="15">
        <f t="shared" si="5"/>
        <v>0</v>
      </c>
      <c r="M14" s="118">
        <f t="shared" si="0"/>
        <v>0</v>
      </c>
      <c r="N14" s="13">
        <f t="shared" si="6"/>
        <v>2.1431100000000001</v>
      </c>
      <c r="O14" s="118">
        <f t="shared" si="7"/>
        <v>8358.7999999999993</v>
      </c>
      <c r="P14" s="120">
        <f t="shared" si="8"/>
        <v>2.593</v>
      </c>
    </row>
    <row r="15" spans="1:33" s="19" customFormat="1" ht="27.75" customHeight="1" x14ac:dyDescent="0.25">
      <c r="A15" s="106">
        <v>4</v>
      </c>
      <c r="B15" s="18" t="s">
        <v>175</v>
      </c>
      <c r="C15" s="114">
        <v>906</v>
      </c>
      <c r="D15" s="14">
        <f>ИНП2026!U12</f>
        <v>0.72689000000000004</v>
      </c>
      <c r="E15" s="14">
        <f>ИБР2026!AR12</f>
        <v>1.3268</v>
      </c>
      <c r="F15" s="16">
        <f>ИНП2026!T12</f>
        <v>504.88</v>
      </c>
      <c r="G15" s="16">
        <v>55</v>
      </c>
      <c r="H15" s="17">
        <f t="shared" si="1"/>
        <v>421.97769068435332</v>
      </c>
      <c r="I15" s="20">
        <f t="shared" si="2"/>
        <v>0.61796909492273733</v>
      </c>
      <c r="J15" s="13">
        <f t="shared" si="3"/>
        <v>0.38500000000000001</v>
      </c>
      <c r="K15" s="114">
        <f t="shared" si="4"/>
        <v>1294.6984442510461</v>
      </c>
      <c r="L15" s="15">
        <f t="shared" si="5"/>
        <v>0.15065667062526519</v>
      </c>
      <c r="M15" s="119">
        <f t="shared" si="0"/>
        <v>301</v>
      </c>
      <c r="N15" s="13">
        <f t="shared" si="6"/>
        <v>0.58563852731617172</v>
      </c>
      <c r="O15" s="118">
        <f t="shared" si="7"/>
        <v>723</v>
      </c>
      <c r="P15" s="120">
        <f t="shared" si="8"/>
        <v>0.79800000000000004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s="19" customFormat="1" ht="16.5" customHeight="1" x14ac:dyDescent="0.25">
      <c r="A16" s="107">
        <v>5</v>
      </c>
      <c r="B16" s="18" t="s">
        <v>176</v>
      </c>
      <c r="C16" s="114">
        <v>941</v>
      </c>
      <c r="D16" s="14">
        <f>ИНП2026!U13</f>
        <v>1.01725</v>
      </c>
      <c r="E16" s="14">
        <f>ИБР2026!AR13</f>
        <v>1.2842</v>
      </c>
      <c r="F16" s="16">
        <f>ИНП2026!T13</f>
        <v>733.85</v>
      </c>
      <c r="G16" s="16">
        <v>55</v>
      </c>
      <c r="H16" s="17">
        <f t="shared" si="1"/>
        <v>614.27347765145612</v>
      </c>
      <c r="I16" s="20">
        <f t="shared" si="2"/>
        <v>0.83831030818278429</v>
      </c>
      <c r="J16" s="13">
        <f t="shared" si="3"/>
        <v>0.53959000000000001</v>
      </c>
      <c r="K16" s="114">
        <f t="shared" si="4"/>
        <v>1068.3963078296463</v>
      </c>
      <c r="L16" s="15">
        <f t="shared" si="5"/>
        <v>0.12432318225195117</v>
      </c>
      <c r="M16" s="119">
        <f t="shared" si="0"/>
        <v>249</v>
      </c>
      <c r="N16" s="13">
        <f t="shared" si="6"/>
        <v>0.70469436471501989</v>
      </c>
      <c r="O16" s="118">
        <f t="shared" si="7"/>
        <v>863.3</v>
      </c>
      <c r="P16" s="120">
        <f t="shared" si="8"/>
        <v>0.91700000000000004</v>
      </c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3" s="19" customFormat="1" ht="16.5" customHeight="1" x14ac:dyDescent="0.25">
      <c r="A17" s="107">
        <v>6</v>
      </c>
      <c r="B17" s="18" t="s">
        <v>177</v>
      </c>
      <c r="C17" s="114">
        <v>1468</v>
      </c>
      <c r="D17" s="14">
        <f>ИНП2026!U14</f>
        <v>1.0055400000000001</v>
      </c>
      <c r="E17" s="14">
        <f>ИБР2026!AR14</f>
        <v>1.27867</v>
      </c>
      <c r="F17" s="16">
        <f>ИНП2026!T14</f>
        <v>1131.6500000000001</v>
      </c>
      <c r="G17" s="16">
        <v>68</v>
      </c>
      <c r="H17" s="17">
        <f t="shared" si="1"/>
        <v>938.20141240507724</v>
      </c>
      <c r="I17" s="20">
        <f t="shared" si="2"/>
        <v>0.81720027247956406</v>
      </c>
      <c r="J17" s="13">
        <f t="shared" si="3"/>
        <v>0.52827999999999997</v>
      </c>
      <c r="K17" s="114">
        <f t="shared" si="4"/>
        <v>1686.0614573494529</v>
      </c>
      <c r="L17" s="15">
        <f t="shared" si="5"/>
        <v>0.19619735140779745</v>
      </c>
      <c r="M17" s="119">
        <f t="shared" si="0"/>
        <v>392</v>
      </c>
      <c r="N17" s="13">
        <f t="shared" si="6"/>
        <v>0.69561355274623993</v>
      </c>
      <c r="O17" s="118">
        <f t="shared" si="7"/>
        <v>1330.2</v>
      </c>
      <c r="P17" s="120">
        <f t="shared" si="8"/>
        <v>0.90600000000000003</v>
      </c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s="19" customFormat="1" ht="16.5" customHeight="1" x14ac:dyDescent="0.25">
      <c r="A18" s="106">
        <v>7</v>
      </c>
      <c r="B18" s="18" t="s">
        <v>178</v>
      </c>
      <c r="C18" s="114">
        <v>959</v>
      </c>
      <c r="D18" s="14">
        <f>ИНП2026!U15</f>
        <v>0.80774999999999997</v>
      </c>
      <c r="E18" s="14">
        <f>ИБР2026!AR15</f>
        <v>1.2839100000000001</v>
      </c>
      <c r="F18" s="16">
        <f>ИНП2026!T15</f>
        <v>593.86</v>
      </c>
      <c r="G18" s="16">
        <v>41</v>
      </c>
      <c r="H18" s="17">
        <f t="shared" si="1"/>
        <v>494.47391172278429</v>
      </c>
      <c r="I18" s="20">
        <f t="shared" si="2"/>
        <v>0.66200208550573514</v>
      </c>
      <c r="J18" s="13">
        <f t="shared" si="3"/>
        <v>0.42620999999999998</v>
      </c>
      <c r="K18" s="114">
        <f t="shared" si="4"/>
        <v>1262.8114031330938</v>
      </c>
      <c r="L18" s="15">
        <f t="shared" si="5"/>
        <v>0.14694615759247892</v>
      </c>
      <c r="M18" s="119">
        <f>ROUND($M$11*L18/$L$23,0)-1</f>
        <v>293</v>
      </c>
      <c r="N18" s="13">
        <f t="shared" si="6"/>
        <v>0.61688595406406155</v>
      </c>
      <c r="O18" s="118">
        <f t="shared" si="7"/>
        <v>787.5</v>
      </c>
      <c r="P18" s="120">
        <f t="shared" si="8"/>
        <v>0.82099999999999995</v>
      </c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1:33" s="19" customFormat="1" ht="16.5" customHeight="1" x14ac:dyDescent="0.25">
      <c r="A19" s="107">
        <v>8</v>
      </c>
      <c r="B19" s="18" t="s">
        <v>41</v>
      </c>
      <c r="C19" s="114">
        <f>ИНП2026!C16</f>
        <v>0</v>
      </c>
      <c r="D19" s="14" t="e">
        <f>ИНП2026!U16</f>
        <v>#DIV/0!</v>
      </c>
      <c r="E19" s="14" t="e">
        <f>ИБР2026!AR16</f>
        <v>#DIV/0!</v>
      </c>
      <c r="F19" s="16">
        <f>ИНП2026!T16</f>
        <v>0</v>
      </c>
      <c r="G19" s="16"/>
      <c r="H19" s="17" t="e">
        <f t="shared" si="1"/>
        <v>#DIV/0!</v>
      </c>
      <c r="I19" s="20" t="e">
        <f t="shared" si="2"/>
        <v>#DIV/0!</v>
      </c>
      <c r="J19" s="13" t="e">
        <f t="shared" si="3"/>
        <v>#DIV/0!</v>
      </c>
      <c r="K19" s="114" t="e">
        <f t="shared" si="4"/>
        <v>#DIV/0!</v>
      </c>
      <c r="L19" s="15" t="e">
        <f t="shared" si="5"/>
        <v>#DIV/0!</v>
      </c>
      <c r="M19" s="119" t="e">
        <f t="shared" si="0"/>
        <v>#DIV/0!</v>
      </c>
      <c r="N19" s="13" t="e">
        <f t="shared" si="6"/>
        <v>#DIV/0!</v>
      </c>
      <c r="O19" s="118" t="e">
        <f t="shared" si="7"/>
        <v>#DIV/0!</v>
      </c>
      <c r="P19" s="120" t="e">
        <f t="shared" si="8"/>
        <v>#DIV/0!</v>
      </c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</row>
    <row r="20" spans="1:33" s="19" customFormat="1" ht="16.5" customHeight="1" x14ac:dyDescent="0.25">
      <c r="A20" s="107">
        <v>9</v>
      </c>
      <c r="B20" s="18" t="s">
        <v>42</v>
      </c>
      <c r="C20" s="114">
        <f>ИНП2026!C17</f>
        <v>0</v>
      </c>
      <c r="D20" s="14" t="e">
        <f>ИНП2026!U17</f>
        <v>#DIV/0!</v>
      </c>
      <c r="E20" s="14" t="e">
        <f>ИБР2026!AR17</f>
        <v>#DIV/0!</v>
      </c>
      <c r="F20" s="16">
        <f>ИНП2026!T17</f>
        <v>0</v>
      </c>
      <c r="G20" s="16"/>
      <c r="H20" s="17" t="e">
        <f t="shared" si="1"/>
        <v>#DIV/0!</v>
      </c>
      <c r="I20" s="20" t="e">
        <f t="shared" si="2"/>
        <v>#DIV/0!</v>
      </c>
      <c r="J20" s="13" t="e">
        <f t="shared" si="3"/>
        <v>#DIV/0!</v>
      </c>
      <c r="K20" s="114" t="e">
        <f t="shared" si="4"/>
        <v>#DIV/0!</v>
      </c>
      <c r="L20" s="15" t="e">
        <f t="shared" si="5"/>
        <v>#DIV/0!</v>
      </c>
      <c r="M20" s="119" t="e">
        <f t="shared" si="0"/>
        <v>#DIV/0!</v>
      </c>
      <c r="N20" s="13" t="e">
        <f t="shared" si="6"/>
        <v>#DIV/0!</v>
      </c>
      <c r="O20" s="118" t="e">
        <f t="shared" si="7"/>
        <v>#DIV/0!</v>
      </c>
      <c r="P20" s="120" t="e">
        <f t="shared" si="8"/>
        <v>#DIV/0!</v>
      </c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1:33" s="19" customFormat="1" ht="16.5" customHeight="1" x14ac:dyDescent="0.25">
      <c r="A21" s="106">
        <v>10</v>
      </c>
      <c r="B21" s="18" t="s">
        <v>43</v>
      </c>
      <c r="C21" s="114">
        <f>ИНП2026!C18</f>
        <v>0</v>
      </c>
      <c r="D21" s="14" t="e">
        <f>ИНП2026!U18</f>
        <v>#DIV/0!</v>
      </c>
      <c r="E21" s="14" t="e">
        <f>ИБР2026!AR18</f>
        <v>#DIV/0!</v>
      </c>
      <c r="F21" s="16">
        <f>ИНП2026!T18</f>
        <v>0</v>
      </c>
      <c r="G21" s="16"/>
      <c r="H21" s="17" t="e">
        <f t="shared" si="1"/>
        <v>#DIV/0!</v>
      </c>
      <c r="I21" s="20" t="e">
        <f t="shared" si="2"/>
        <v>#DIV/0!</v>
      </c>
      <c r="J21" s="13" t="e">
        <f t="shared" si="3"/>
        <v>#DIV/0!</v>
      </c>
      <c r="K21" s="114" t="e">
        <f t="shared" si="4"/>
        <v>#DIV/0!</v>
      </c>
      <c r="L21" s="15" t="e">
        <f t="shared" si="5"/>
        <v>#DIV/0!</v>
      </c>
      <c r="M21" s="119" t="e">
        <f t="shared" si="0"/>
        <v>#DIV/0!</v>
      </c>
      <c r="N21" s="13" t="e">
        <f t="shared" si="6"/>
        <v>#DIV/0!</v>
      </c>
      <c r="O21" s="118" t="e">
        <f t="shared" si="7"/>
        <v>#DIV/0!</v>
      </c>
      <c r="P21" s="120" t="e">
        <f t="shared" si="8"/>
        <v>#DIV/0!</v>
      </c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</row>
    <row r="22" spans="1:33" s="19" customFormat="1" ht="16.5" customHeight="1" x14ac:dyDescent="0.25">
      <c r="A22" s="107">
        <v>11</v>
      </c>
      <c r="B22" s="18" t="s">
        <v>44</v>
      </c>
      <c r="C22" s="114">
        <f>ИНП2026!C19</f>
        <v>0</v>
      </c>
      <c r="D22" s="14" t="e">
        <f>ИНП2026!U19</f>
        <v>#DIV/0!</v>
      </c>
      <c r="E22" s="14" t="e">
        <f>ИБР2026!AR19</f>
        <v>#DIV/0!</v>
      </c>
      <c r="F22" s="16">
        <f>ИНП2026!T19</f>
        <v>0</v>
      </c>
      <c r="G22" s="16"/>
      <c r="H22" s="17" t="e">
        <f t="shared" si="1"/>
        <v>#DIV/0!</v>
      </c>
      <c r="I22" s="20" t="e">
        <f t="shared" si="2"/>
        <v>#DIV/0!</v>
      </c>
      <c r="J22" s="13" t="e">
        <f t="shared" si="3"/>
        <v>#DIV/0!</v>
      </c>
      <c r="K22" s="114" t="e">
        <f t="shared" si="4"/>
        <v>#DIV/0!</v>
      </c>
      <c r="L22" s="15" t="e">
        <f t="shared" si="5"/>
        <v>#DIV/0!</v>
      </c>
      <c r="M22" s="119" t="e">
        <f t="shared" si="0"/>
        <v>#DIV/0!</v>
      </c>
      <c r="N22" s="13" t="e">
        <f t="shared" si="6"/>
        <v>#DIV/0!</v>
      </c>
      <c r="O22" s="118" t="e">
        <f t="shared" si="7"/>
        <v>#DIV/0!</v>
      </c>
      <c r="P22" s="120" t="e">
        <f t="shared" si="8"/>
        <v>#DIV/0!</v>
      </c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</row>
    <row r="23" spans="1:33" ht="16.5" x14ac:dyDescent="0.25">
      <c r="A23" s="166" t="s">
        <v>0</v>
      </c>
      <c r="B23" s="166"/>
      <c r="C23" s="115">
        <f>SUM(C12:C22)</f>
        <v>9808</v>
      </c>
      <c r="D23" s="117">
        <f>ИНП2026!U20</f>
        <v>1</v>
      </c>
      <c r="E23" s="117">
        <f>ИБР2026!AR20</f>
        <v>1</v>
      </c>
      <c r="F23" s="22">
        <f>SUM(F12:F22)</f>
        <v>7519.1500000000005</v>
      </c>
      <c r="G23" s="22">
        <f>SUM(G12:G22)</f>
        <v>344</v>
      </c>
      <c r="H23" s="22">
        <f>SUM(H12:H18)</f>
        <v>11865.470990704462</v>
      </c>
      <c r="I23" s="24">
        <f>AVERAGE(I12:I18)</f>
        <v>0.77318806102324622</v>
      </c>
      <c r="J23" s="23">
        <f>AVERAGE(J12:J18)</f>
        <v>0.70410571428571433</v>
      </c>
      <c r="K23" s="22">
        <f>SUM(K12:K18)</f>
        <v>8593.7014197758635</v>
      </c>
      <c r="L23" s="116">
        <f>SUM(L12:L18)</f>
        <v>1</v>
      </c>
      <c r="M23" s="22">
        <f>SUM(M12:M18)</f>
        <v>2000</v>
      </c>
      <c r="N23" s="23">
        <f>AVERAGE(N12:N18)</f>
        <v>0.86049537376593577</v>
      </c>
      <c r="O23" s="22">
        <f>SUM(O12:O18)</f>
        <v>13865.5</v>
      </c>
      <c r="P23" s="23">
        <f>AVERAGE(P12:P18)</f>
        <v>1.105</v>
      </c>
    </row>
    <row r="24" spans="1:33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12"/>
      <c r="L24" s="7"/>
      <c r="M24" s="7"/>
      <c r="N24" s="7"/>
      <c r="O24" s="7"/>
    </row>
    <row r="25" spans="1:33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1"/>
      <c r="N25" s="7"/>
      <c r="O25" s="7"/>
    </row>
  </sheetData>
  <mergeCells count="20">
    <mergeCell ref="A23:B23"/>
    <mergeCell ref="M8:M9"/>
    <mergeCell ref="A10:B10"/>
    <mergeCell ref="A11:B11"/>
    <mergeCell ref="J7:J9"/>
    <mergeCell ref="K7:K9"/>
    <mergeCell ref="L7:L9"/>
    <mergeCell ref="P7:P9"/>
    <mergeCell ref="A2:B2"/>
    <mergeCell ref="O7:O9"/>
    <mergeCell ref="H7:H9"/>
    <mergeCell ref="N7:N9"/>
    <mergeCell ref="A7:A9"/>
    <mergeCell ref="B7:B9"/>
    <mergeCell ref="C7:C9"/>
    <mergeCell ref="D7:D9"/>
    <mergeCell ref="E7:E9"/>
    <mergeCell ref="F7:F9"/>
    <mergeCell ref="I7:I9"/>
    <mergeCell ref="G7:G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0" zoomScaleNormal="80" zoomScaleSheetLayoutView="85" workbookViewId="0">
      <pane xSplit="2" ySplit="9" topLeftCell="H10" activePane="bottomRight" state="frozen"/>
      <selection activeCell="G21" sqref="G21"/>
      <selection pane="topRight" activeCell="G21" sqref="G21"/>
      <selection pane="bottomLeft" activeCell="G21" sqref="G21"/>
      <selection pane="bottomRight" activeCell="P9" sqref="P9:Q16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0.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189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4" t="s">
        <v>1</v>
      </c>
      <c r="B4" s="164" t="s">
        <v>40</v>
      </c>
      <c r="C4" s="165" t="s">
        <v>188</v>
      </c>
      <c r="D4" s="173" t="s">
        <v>6</v>
      </c>
      <c r="E4" s="173"/>
      <c r="F4" s="173"/>
      <c r="G4" s="173"/>
      <c r="H4" s="173" t="s">
        <v>47</v>
      </c>
      <c r="I4" s="173"/>
      <c r="J4" s="173"/>
      <c r="K4" s="173"/>
      <c r="L4" s="173" t="s">
        <v>16</v>
      </c>
      <c r="M4" s="173"/>
      <c r="N4" s="173"/>
      <c r="O4" s="173"/>
      <c r="P4" s="173" t="s">
        <v>51</v>
      </c>
      <c r="Q4" s="173"/>
      <c r="R4" s="173"/>
      <c r="S4" s="173"/>
      <c r="T4" s="173" t="s">
        <v>14</v>
      </c>
      <c r="U4" s="173" t="s">
        <v>11</v>
      </c>
    </row>
    <row r="5" spans="1:23" ht="13.15" customHeight="1" x14ac:dyDescent="0.2">
      <c r="A5" s="164"/>
      <c r="B5" s="164"/>
      <c r="C5" s="165"/>
      <c r="D5" s="172" t="s">
        <v>32</v>
      </c>
      <c r="E5" s="172" t="s">
        <v>186</v>
      </c>
      <c r="F5" s="172" t="s">
        <v>45</v>
      </c>
      <c r="G5" s="173" t="s">
        <v>15</v>
      </c>
      <c r="H5" s="172" t="s">
        <v>48</v>
      </c>
      <c r="I5" s="164" t="s">
        <v>53</v>
      </c>
      <c r="J5" s="172" t="s">
        <v>45</v>
      </c>
      <c r="K5" s="173" t="s">
        <v>15</v>
      </c>
      <c r="L5" s="172" t="s">
        <v>49</v>
      </c>
      <c r="M5" s="172" t="s">
        <v>34</v>
      </c>
      <c r="N5" s="172" t="s">
        <v>50</v>
      </c>
      <c r="O5" s="173" t="s">
        <v>15</v>
      </c>
      <c r="P5" s="177" t="s">
        <v>48</v>
      </c>
      <c r="Q5" s="164" t="s">
        <v>52</v>
      </c>
      <c r="R5" s="172" t="s">
        <v>50</v>
      </c>
      <c r="S5" s="173" t="s">
        <v>15</v>
      </c>
      <c r="T5" s="173"/>
      <c r="U5" s="173"/>
    </row>
    <row r="6" spans="1:23" ht="84" customHeight="1" x14ac:dyDescent="0.2">
      <c r="A6" s="164"/>
      <c r="B6" s="164"/>
      <c r="C6" s="165"/>
      <c r="D6" s="172"/>
      <c r="E6" s="172"/>
      <c r="F6" s="172"/>
      <c r="G6" s="173"/>
      <c r="H6" s="172"/>
      <c r="I6" s="164"/>
      <c r="J6" s="172"/>
      <c r="K6" s="173"/>
      <c r="L6" s="172"/>
      <c r="M6" s="172"/>
      <c r="N6" s="172"/>
      <c r="O6" s="173"/>
      <c r="P6" s="177"/>
      <c r="Q6" s="164"/>
      <c r="R6" s="172"/>
      <c r="S6" s="173"/>
      <c r="T6" s="173"/>
      <c r="U6" s="173"/>
    </row>
    <row r="7" spans="1:23" s="25" customFormat="1" ht="28.5" customHeight="1" x14ac:dyDescent="0.2">
      <c r="A7" s="176" t="s">
        <v>38</v>
      </c>
      <c r="B7" s="176"/>
      <c r="C7" s="21">
        <v>1</v>
      </c>
      <c r="D7" s="94">
        <v>2</v>
      </c>
      <c r="E7" s="94">
        <v>3</v>
      </c>
      <c r="F7" s="94">
        <v>4</v>
      </c>
      <c r="G7" s="94" t="s">
        <v>46</v>
      </c>
      <c r="H7" s="94">
        <v>6</v>
      </c>
      <c r="I7" s="94">
        <v>7</v>
      </c>
      <c r="J7" s="94">
        <v>8</v>
      </c>
      <c r="K7" s="94" t="s">
        <v>89</v>
      </c>
      <c r="L7" s="94">
        <v>10</v>
      </c>
      <c r="M7" s="94">
        <v>11</v>
      </c>
      <c r="N7" s="94">
        <v>12</v>
      </c>
      <c r="O7" s="94" t="s">
        <v>90</v>
      </c>
      <c r="P7" s="94">
        <v>14</v>
      </c>
      <c r="Q7" s="94">
        <v>15</v>
      </c>
      <c r="R7" s="94">
        <v>16</v>
      </c>
      <c r="S7" s="94" t="s">
        <v>91</v>
      </c>
      <c r="T7" s="95" t="s">
        <v>92</v>
      </c>
      <c r="U7" s="96" t="s">
        <v>93</v>
      </c>
    </row>
    <row r="8" spans="1:23" s="25" customFormat="1" ht="13.5" x14ac:dyDescent="0.25">
      <c r="A8" s="175"/>
      <c r="B8" s="175"/>
      <c r="C8" s="135" t="s">
        <v>37</v>
      </c>
      <c r="D8" s="37"/>
      <c r="E8" s="135"/>
      <c r="F8" s="135" t="s">
        <v>33</v>
      </c>
      <c r="G8" s="37"/>
      <c r="H8" s="37"/>
      <c r="I8" s="37"/>
      <c r="J8" s="135" t="s">
        <v>33</v>
      </c>
      <c r="K8" s="26"/>
      <c r="L8" s="37"/>
      <c r="M8" s="135" t="s">
        <v>33</v>
      </c>
      <c r="N8" s="135" t="s">
        <v>33</v>
      </c>
      <c r="O8" s="37"/>
      <c r="P8" s="37"/>
      <c r="Q8" s="37"/>
      <c r="R8" s="135" t="s">
        <v>33</v>
      </c>
      <c r="S8" s="37"/>
      <c r="T8" s="26"/>
      <c r="U8" s="27" t="s">
        <v>8</v>
      </c>
    </row>
    <row r="9" spans="1:23" s="25" customFormat="1" ht="16.5" x14ac:dyDescent="0.25">
      <c r="A9" s="28" t="s">
        <v>27</v>
      </c>
      <c r="B9" s="18" t="s">
        <v>172</v>
      </c>
      <c r="C9" s="114">
        <v>1576</v>
      </c>
      <c r="D9" s="29">
        <v>35900</v>
      </c>
      <c r="E9" s="31">
        <v>0.13161500000000001</v>
      </c>
      <c r="F9" s="30">
        <v>0.02</v>
      </c>
      <c r="G9" s="159">
        <f>ROUND(D9*F9*E9,0)</f>
        <v>94</v>
      </c>
      <c r="H9" s="113">
        <v>104</v>
      </c>
      <c r="I9" s="38"/>
      <c r="J9" s="30">
        <v>1</v>
      </c>
      <c r="K9" s="32">
        <f>ROUND((H9+I9)*J9,0)</f>
        <v>104</v>
      </c>
      <c r="L9" s="113">
        <v>1450</v>
      </c>
      <c r="M9" s="30">
        <v>0.06</v>
      </c>
      <c r="N9" s="30">
        <v>0.3</v>
      </c>
      <c r="O9" s="160">
        <f>ROUND(L9*M9*N9,0)</f>
        <v>26</v>
      </c>
      <c r="P9" s="32">
        <v>182</v>
      </c>
      <c r="Q9" s="32">
        <v>85.8</v>
      </c>
      <c r="R9" s="30">
        <v>1</v>
      </c>
      <c r="S9" s="32">
        <f>ROUND((P9+Q9)*R9,0)</f>
        <v>268</v>
      </c>
      <c r="T9" s="32">
        <f>G9+K9+O9+S9</f>
        <v>492</v>
      </c>
      <c r="U9" s="33">
        <f>ROUND((T9/C9)/($T$20/$C$20),5)</f>
        <v>0.40721000000000002</v>
      </c>
      <c r="V9" s="34"/>
      <c r="W9" s="35"/>
    </row>
    <row r="10" spans="1:23" s="25" customFormat="1" ht="16.5" x14ac:dyDescent="0.25">
      <c r="A10" s="28" t="s">
        <v>23</v>
      </c>
      <c r="B10" s="18" t="s">
        <v>173</v>
      </c>
      <c r="C10" s="114">
        <v>734</v>
      </c>
      <c r="D10" s="29">
        <v>24300</v>
      </c>
      <c r="E10" s="31">
        <v>0.1011</v>
      </c>
      <c r="F10" s="30">
        <v>0.02</v>
      </c>
      <c r="G10" s="159">
        <f t="shared" ref="G10:G19" si="0">ROUND(D10*F10*E10,2)</f>
        <v>49.13</v>
      </c>
      <c r="H10" s="113">
        <v>32</v>
      </c>
      <c r="I10" s="38"/>
      <c r="J10" s="30">
        <v>1</v>
      </c>
      <c r="K10" s="32">
        <f t="shared" ref="K10:K19" si="1">ROUND((H10+I10)*J10,0)</f>
        <v>32</v>
      </c>
      <c r="L10" s="113">
        <v>1550</v>
      </c>
      <c r="M10" s="30">
        <v>0.06</v>
      </c>
      <c r="N10" s="30">
        <v>0.3</v>
      </c>
      <c r="O10" s="160">
        <f t="shared" ref="O10:O19" si="2">ROUND(L10*M10*N10,0)</f>
        <v>28</v>
      </c>
      <c r="P10" s="32">
        <v>446</v>
      </c>
      <c r="Q10" s="32">
        <v>229.4</v>
      </c>
      <c r="R10" s="30">
        <v>1</v>
      </c>
      <c r="S10" s="32">
        <f t="shared" ref="S10:S19" si="3">ROUND((P10+Q10)*R10,0)</f>
        <v>675</v>
      </c>
      <c r="T10" s="32">
        <f t="shared" ref="T10:T19" si="4">G10+K10+O10+S10</f>
        <v>784.13</v>
      </c>
      <c r="U10" s="33">
        <f t="shared" ref="U10:U19" si="5">ROUND((T10/C10)/($T$20/$C$20),5)</f>
        <v>1.3934899999999999</v>
      </c>
      <c r="V10" s="34"/>
      <c r="W10" s="35"/>
    </row>
    <row r="11" spans="1:23" s="25" customFormat="1" ht="16.5" x14ac:dyDescent="0.25">
      <c r="A11" s="28" t="s">
        <v>26</v>
      </c>
      <c r="B11" s="18" t="s">
        <v>174</v>
      </c>
      <c r="C11" s="114">
        <v>3224</v>
      </c>
      <c r="D11" s="29">
        <v>328200</v>
      </c>
      <c r="E11" s="31">
        <v>0.14957000000000001</v>
      </c>
      <c r="F11" s="30">
        <v>0.02</v>
      </c>
      <c r="G11" s="159">
        <f t="shared" si="0"/>
        <v>981.78</v>
      </c>
      <c r="H11" s="113">
        <v>1275</v>
      </c>
      <c r="I11" s="38"/>
      <c r="J11" s="30">
        <v>1</v>
      </c>
      <c r="K11" s="32">
        <f t="shared" si="1"/>
        <v>1275</v>
      </c>
      <c r="L11" s="113">
        <v>4200</v>
      </c>
      <c r="M11" s="30">
        <v>0.06</v>
      </c>
      <c r="N11" s="30">
        <v>0.3</v>
      </c>
      <c r="O11" s="160">
        <f t="shared" si="2"/>
        <v>76</v>
      </c>
      <c r="P11" s="32">
        <v>578</v>
      </c>
      <c r="Q11" s="32">
        <v>368.1</v>
      </c>
      <c r="R11" s="30">
        <v>1</v>
      </c>
      <c r="S11" s="32">
        <f t="shared" si="3"/>
        <v>946</v>
      </c>
      <c r="T11" s="32">
        <f t="shared" si="4"/>
        <v>3278.7799999999997</v>
      </c>
      <c r="U11" s="33">
        <f t="shared" si="5"/>
        <v>1.32657</v>
      </c>
      <c r="V11" s="34"/>
      <c r="W11" s="35"/>
    </row>
    <row r="12" spans="1:23" s="25" customFormat="1" ht="24.75" x14ac:dyDescent="0.25">
      <c r="A12" s="28" t="s">
        <v>24</v>
      </c>
      <c r="B12" s="18" t="s">
        <v>175</v>
      </c>
      <c r="C12" s="114">
        <v>906</v>
      </c>
      <c r="D12" s="29">
        <v>18700</v>
      </c>
      <c r="E12" s="31">
        <v>9.8599999999999993E-2</v>
      </c>
      <c r="F12" s="30">
        <v>0.02</v>
      </c>
      <c r="G12" s="159">
        <f t="shared" si="0"/>
        <v>36.880000000000003</v>
      </c>
      <c r="H12" s="113">
        <v>31</v>
      </c>
      <c r="I12" s="38"/>
      <c r="J12" s="30">
        <v>1</v>
      </c>
      <c r="K12" s="32">
        <f t="shared" si="1"/>
        <v>31</v>
      </c>
      <c r="L12" s="113">
        <v>2650</v>
      </c>
      <c r="M12" s="30">
        <v>0.06</v>
      </c>
      <c r="N12" s="30">
        <v>0.3</v>
      </c>
      <c r="O12" s="160">
        <f t="shared" si="2"/>
        <v>48</v>
      </c>
      <c r="P12" s="32">
        <v>190</v>
      </c>
      <c r="Q12" s="32">
        <v>199.4</v>
      </c>
      <c r="R12" s="30">
        <v>1</v>
      </c>
      <c r="S12" s="32">
        <f t="shared" si="3"/>
        <v>389</v>
      </c>
      <c r="T12" s="32">
        <f t="shared" si="4"/>
        <v>504.88</v>
      </c>
      <c r="U12" s="33">
        <f t="shared" si="5"/>
        <v>0.72689000000000004</v>
      </c>
      <c r="V12" s="34"/>
      <c r="W12" s="35"/>
    </row>
    <row r="13" spans="1:23" s="25" customFormat="1" ht="26.25" customHeight="1" x14ac:dyDescent="0.25">
      <c r="A13" s="28" t="s">
        <v>28</v>
      </c>
      <c r="B13" s="18" t="s">
        <v>176</v>
      </c>
      <c r="C13" s="114">
        <v>941</v>
      </c>
      <c r="D13" s="29">
        <v>39800</v>
      </c>
      <c r="E13" s="31">
        <v>8.1470000000000001E-2</v>
      </c>
      <c r="F13" s="30">
        <v>0.02</v>
      </c>
      <c r="G13" s="159">
        <f t="shared" si="0"/>
        <v>64.849999999999994</v>
      </c>
      <c r="H13" s="113">
        <v>18</v>
      </c>
      <c r="I13" s="38"/>
      <c r="J13" s="30">
        <v>1</v>
      </c>
      <c r="K13" s="32">
        <f t="shared" si="1"/>
        <v>18</v>
      </c>
      <c r="L13" s="113">
        <v>7100</v>
      </c>
      <c r="M13" s="30">
        <v>0.06</v>
      </c>
      <c r="N13" s="30">
        <v>0.3</v>
      </c>
      <c r="O13" s="160">
        <f t="shared" si="2"/>
        <v>128</v>
      </c>
      <c r="P13" s="32">
        <v>193</v>
      </c>
      <c r="Q13" s="32">
        <v>329.8</v>
      </c>
      <c r="R13" s="30">
        <v>1</v>
      </c>
      <c r="S13" s="32">
        <f t="shared" si="3"/>
        <v>523</v>
      </c>
      <c r="T13" s="32">
        <f t="shared" si="4"/>
        <v>733.85</v>
      </c>
      <c r="U13" s="33">
        <f t="shared" si="5"/>
        <v>1.01725</v>
      </c>
      <c r="V13" s="34"/>
      <c r="W13" s="35"/>
    </row>
    <row r="14" spans="1:23" s="25" customFormat="1" ht="16.5" x14ac:dyDescent="0.25">
      <c r="A14" s="28" t="s">
        <v>29</v>
      </c>
      <c r="B14" s="18" t="s">
        <v>177</v>
      </c>
      <c r="C14" s="114">
        <v>1468</v>
      </c>
      <c r="D14" s="29">
        <v>24700</v>
      </c>
      <c r="E14" s="31">
        <v>0.18754999999999999</v>
      </c>
      <c r="F14" s="30">
        <v>0.02</v>
      </c>
      <c r="G14" s="159">
        <f t="shared" si="0"/>
        <v>92.65</v>
      </c>
      <c r="H14" s="113">
        <v>391</v>
      </c>
      <c r="I14" s="38"/>
      <c r="J14" s="30">
        <v>1</v>
      </c>
      <c r="K14" s="32">
        <f t="shared" si="1"/>
        <v>391</v>
      </c>
      <c r="L14" s="113">
        <v>1200</v>
      </c>
      <c r="M14" s="30">
        <v>0.06</v>
      </c>
      <c r="N14" s="30">
        <v>0.3</v>
      </c>
      <c r="O14" s="160">
        <f t="shared" si="2"/>
        <v>22</v>
      </c>
      <c r="P14" s="32">
        <v>257</v>
      </c>
      <c r="Q14" s="32">
        <v>368.9</v>
      </c>
      <c r="R14" s="30">
        <v>1</v>
      </c>
      <c r="S14" s="32">
        <f t="shared" si="3"/>
        <v>626</v>
      </c>
      <c r="T14" s="32">
        <f t="shared" si="4"/>
        <v>1131.6500000000001</v>
      </c>
      <c r="U14" s="33">
        <f t="shared" si="5"/>
        <v>1.0055400000000001</v>
      </c>
      <c r="V14" s="34"/>
      <c r="W14" s="35"/>
    </row>
    <row r="15" spans="1:23" s="25" customFormat="1" ht="16.5" x14ac:dyDescent="0.25">
      <c r="A15" s="28" t="s">
        <v>25</v>
      </c>
      <c r="B15" s="18" t="s">
        <v>178</v>
      </c>
      <c r="C15" s="114">
        <v>959</v>
      </c>
      <c r="D15" s="29">
        <v>19400</v>
      </c>
      <c r="E15" s="31">
        <v>9.5000000000000001E-2</v>
      </c>
      <c r="F15" s="30">
        <v>0.02</v>
      </c>
      <c r="G15" s="159">
        <f t="shared" si="0"/>
        <v>36.86</v>
      </c>
      <c r="H15" s="113">
        <v>84</v>
      </c>
      <c r="I15" s="38"/>
      <c r="J15" s="30">
        <v>1</v>
      </c>
      <c r="K15" s="32">
        <f t="shared" si="1"/>
        <v>84</v>
      </c>
      <c r="L15" s="113">
        <v>400</v>
      </c>
      <c r="M15" s="30">
        <v>0.06</v>
      </c>
      <c r="N15" s="30">
        <v>0.3</v>
      </c>
      <c r="O15" s="160">
        <f t="shared" si="2"/>
        <v>7</v>
      </c>
      <c r="P15" s="32">
        <v>212</v>
      </c>
      <c r="Q15" s="32">
        <v>254.3</v>
      </c>
      <c r="R15" s="30">
        <v>1</v>
      </c>
      <c r="S15" s="32">
        <f t="shared" si="3"/>
        <v>466</v>
      </c>
      <c r="T15" s="32">
        <f t="shared" si="4"/>
        <v>593.86</v>
      </c>
      <c r="U15" s="33">
        <f t="shared" si="5"/>
        <v>0.80774999999999997</v>
      </c>
      <c r="V15" s="34"/>
      <c r="W15" s="35"/>
    </row>
    <row r="16" spans="1:23" s="25" customFormat="1" ht="15.75" x14ac:dyDescent="0.25">
      <c r="A16" s="28" t="s">
        <v>30</v>
      </c>
      <c r="B16" s="18"/>
      <c r="C16" s="113"/>
      <c r="D16" s="29"/>
      <c r="E16" s="31"/>
      <c r="F16" s="30"/>
      <c r="G16" s="32">
        <f t="shared" si="0"/>
        <v>0</v>
      </c>
      <c r="H16" s="113"/>
      <c r="I16" s="38">
        <v>0</v>
      </c>
      <c r="J16" s="30"/>
      <c r="K16" s="32">
        <f t="shared" si="1"/>
        <v>0</v>
      </c>
      <c r="L16" s="113"/>
      <c r="M16" s="30"/>
      <c r="N16" s="30"/>
      <c r="O16" s="160">
        <f t="shared" si="2"/>
        <v>0</v>
      </c>
      <c r="P16" s="32"/>
      <c r="Q16" s="32"/>
      <c r="R16" s="30"/>
      <c r="S16" s="32">
        <f t="shared" si="3"/>
        <v>0</v>
      </c>
      <c r="T16" s="32">
        <f t="shared" si="4"/>
        <v>0</v>
      </c>
      <c r="U16" s="33" t="e">
        <f t="shared" si="5"/>
        <v>#DIV/0!</v>
      </c>
      <c r="V16" s="34"/>
      <c r="W16" s="35"/>
    </row>
    <row r="17" spans="1:23" s="25" customFormat="1" ht="15.75" x14ac:dyDescent="0.25">
      <c r="A17" s="28" t="s">
        <v>31</v>
      </c>
      <c r="B17" s="18"/>
      <c r="C17" s="113"/>
      <c r="D17" s="29"/>
      <c r="E17" s="31"/>
      <c r="F17" s="30"/>
      <c r="G17" s="32">
        <f t="shared" si="0"/>
        <v>0</v>
      </c>
      <c r="H17" s="113"/>
      <c r="I17" s="38">
        <v>0</v>
      </c>
      <c r="J17" s="30"/>
      <c r="K17" s="32">
        <f t="shared" si="1"/>
        <v>0</v>
      </c>
      <c r="L17" s="113"/>
      <c r="M17" s="30"/>
      <c r="N17" s="30"/>
      <c r="O17" s="160">
        <f t="shared" si="2"/>
        <v>0</v>
      </c>
      <c r="P17" s="32"/>
      <c r="Q17" s="32"/>
      <c r="R17" s="30"/>
      <c r="S17" s="32">
        <f t="shared" si="3"/>
        <v>0</v>
      </c>
      <c r="T17" s="32">
        <f t="shared" si="4"/>
        <v>0</v>
      </c>
      <c r="U17" s="33" t="e">
        <f t="shared" si="5"/>
        <v>#DIV/0!</v>
      </c>
      <c r="V17" s="34"/>
      <c r="W17" s="35"/>
    </row>
    <row r="18" spans="1:23" s="25" customFormat="1" ht="15.75" x14ac:dyDescent="0.25">
      <c r="A18" s="28" t="s">
        <v>4</v>
      </c>
      <c r="B18" s="18"/>
      <c r="C18" s="113"/>
      <c r="D18" s="29"/>
      <c r="E18" s="31"/>
      <c r="F18" s="30"/>
      <c r="G18" s="32">
        <f t="shared" si="0"/>
        <v>0</v>
      </c>
      <c r="H18" s="113"/>
      <c r="I18" s="38">
        <v>0</v>
      </c>
      <c r="J18" s="30"/>
      <c r="K18" s="32">
        <f t="shared" si="1"/>
        <v>0</v>
      </c>
      <c r="L18" s="113"/>
      <c r="M18" s="30"/>
      <c r="N18" s="30"/>
      <c r="O18" s="160">
        <f t="shared" si="2"/>
        <v>0</v>
      </c>
      <c r="P18" s="32"/>
      <c r="Q18" s="32"/>
      <c r="R18" s="30"/>
      <c r="S18" s="32">
        <f t="shared" si="3"/>
        <v>0</v>
      </c>
      <c r="T18" s="32">
        <f t="shared" si="4"/>
        <v>0</v>
      </c>
      <c r="U18" s="33" t="e">
        <f t="shared" si="5"/>
        <v>#DIV/0!</v>
      </c>
      <c r="V18" s="34"/>
      <c r="W18" s="35"/>
    </row>
    <row r="19" spans="1:23" s="25" customFormat="1" ht="15.75" x14ac:dyDescent="0.25">
      <c r="A19" s="28" t="s">
        <v>5</v>
      </c>
      <c r="B19" s="18"/>
      <c r="C19" s="113"/>
      <c r="D19" s="29"/>
      <c r="E19" s="31"/>
      <c r="F19" s="30"/>
      <c r="G19" s="32">
        <f t="shared" si="0"/>
        <v>0</v>
      </c>
      <c r="H19" s="113"/>
      <c r="I19" s="38">
        <v>0</v>
      </c>
      <c r="J19" s="30"/>
      <c r="K19" s="32">
        <f t="shared" si="1"/>
        <v>0</v>
      </c>
      <c r="L19" s="113"/>
      <c r="M19" s="30"/>
      <c r="N19" s="30"/>
      <c r="O19" s="160">
        <f t="shared" si="2"/>
        <v>0</v>
      </c>
      <c r="P19" s="32"/>
      <c r="Q19" s="32"/>
      <c r="R19" s="30"/>
      <c r="S19" s="32">
        <f t="shared" si="3"/>
        <v>0</v>
      </c>
      <c r="T19" s="32">
        <f t="shared" si="4"/>
        <v>0</v>
      </c>
      <c r="U19" s="33" t="e">
        <f t="shared" si="5"/>
        <v>#DIV/0!</v>
      </c>
      <c r="V19" s="34"/>
      <c r="W19" s="35"/>
    </row>
    <row r="20" spans="1:23" s="97" customFormat="1" ht="17.25" customHeight="1" x14ac:dyDescent="0.25">
      <c r="A20" s="174" t="s">
        <v>0</v>
      </c>
      <c r="B20" s="174"/>
      <c r="C20" s="152">
        <f>SUM(C9:C19)</f>
        <v>9808</v>
      </c>
      <c r="D20" s="145">
        <f>SUM(D9:D19)</f>
        <v>491000</v>
      </c>
      <c r="E20" s="136" t="s">
        <v>7</v>
      </c>
      <c r="F20" s="136" t="s">
        <v>7</v>
      </c>
      <c r="G20" s="152">
        <f>SUM(G9:G19)</f>
        <v>1356.1499999999999</v>
      </c>
      <c r="H20" s="156">
        <f>SUM(H9:H19)</f>
        <v>1935</v>
      </c>
      <c r="I20" s="145">
        <f>SUM(I9:I19)</f>
        <v>0</v>
      </c>
      <c r="J20" s="136" t="s">
        <v>7</v>
      </c>
      <c r="K20" s="145">
        <f>SUM(K9:K19)</f>
        <v>1935</v>
      </c>
      <c r="L20" s="156">
        <f>SUM(L9:L19)</f>
        <v>18550</v>
      </c>
      <c r="M20" s="136" t="s">
        <v>7</v>
      </c>
      <c r="N20" s="136" t="s">
        <v>7</v>
      </c>
      <c r="O20" s="161">
        <f>SUM(O9:O19)</f>
        <v>335</v>
      </c>
      <c r="P20" s="145">
        <f>SUM(P9:P19)</f>
        <v>2058</v>
      </c>
      <c r="Q20" s="145">
        <f>SUM(Q9:Q19)</f>
        <v>1835.7</v>
      </c>
      <c r="R20" s="136" t="s">
        <v>7</v>
      </c>
      <c r="S20" s="145">
        <f>SUM(S9:S19)</f>
        <v>3893</v>
      </c>
      <c r="T20" s="145">
        <f>SUM(T9:T19)</f>
        <v>7519.1500000000005</v>
      </c>
      <c r="U20" s="153">
        <f t="shared" ref="U20" si="6">(T20/C20)/($T$20/$C$20)</f>
        <v>1</v>
      </c>
    </row>
    <row r="21" spans="1:23" s="25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23" s="25" customForma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23" s="25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23" s="25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3" s="25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3" s="25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23" s="25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23" s="25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23" s="25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3" s="25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3" s="25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23" s="25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5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5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5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5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5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25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25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25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80" zoomScaleNormal="80" zoomScaleSheetLayoutView="70" workbookViewId="0">
      <pane xSplit="3" topLeftCell="D1" activePane="topRight" state="frozenSplit"/>
      <selection activeCell="A4" sqref="A4"/>
      <selection pane="topRight" activeCell="D54" sqref="D54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7" width="16.83203125" style="1" customWidth="1"/>
    <col min="8" max="8" width="10" style="1" customWidth="1"/>
    <col min="9" max="9" width="10.6640625" style="1" customWidth="1"/>
    <col min="10" max="10" width="16.83203125" style="1" customWidth="1"/>
    <col min="11" max="11" width="12.83203125" style="1" customWidth="1"/>
    <col min="12" max="12" width="10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22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46" ht="18.75" x14ac:dyDescent="0.3">
      <c r="B2" s="41"/>
      <c r="C2" s="8" t="s">
        <v>183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46" ht="13.15" customHeight="1" x14ac:dyDescent="0.25">
      <c r="A3" s="2" t="s">
        <v>9</v>
      </c>
      <c r="B3" s="42"/>
      <c r="C3" s="43"/>
      <c r="D3" s="43"/>
      <c r="E3" s="129">
        <v>1</v>
      </c>
      <c r="F3" s="43"/>
      <c r="G3" s="43"/>
      <c r="H3" s="43"/>
      <c r="I3" s="129">
        <f>E3+1</f>
        <v>2</v>
      </c>
      <c r="J3" s="42"/>
      <c r="K3" s="42"/>
      <c r="L3" s="129">
        <f>I3+1</f>
        <v>3</v>
      </c>
      <c r="M3" s="43"/>
      <c r="N3" s="129">
        <f>L3+1</f>
        <v>4</v>
      </c>
      <c r="O3" s="43"/>
      <c r="P3" s="129">
        <f>N3+1</f>
        <v>5</v>
      </c>
      <c r="Q3" s="43"/>
      <c r="R3" s="129">
        <f>P3+1</f>
        <v>6</v>
      </c>
      <c r="S3" s="43"/>
      <c r="T3" s="129">
        <f>R3+1</f>
        <v>7</v>
      </c>
      <c r="U3" s="43"/>
      <c r="V3" s="129">
        <f>T3+1</f>
        <v>8</v>
      </c>
      <c r="W3" s="43"/>
      <c r="X3" s="129">
        <f>V3+1</f>
        <v>9</v>
      </c>
      <c r="Y3" s="43"/>
      <c r="Z3" s="129">
        <f>X3+1</f>
        <v>10</v>
      </c>
      <c r="AA3" s="43"/>
      <c r="AB3" s="129">
        <f>Z3+1</f>
        <v>11</v>
      </c>
      <c r="AC3" s="43"/>
      <c r="AD3" s="129">
        <f>AB3+1</f>
        <v>12</v>
      </c>
      <c r="AE3" s="129">
        <f>AD3+1</f>
        <v>13</v>
      </c>
      <c r="AF3" s="129">
        <f>AE3+1</f>
        <v>14</v>
      </c>
      <c r="AG3" s="43"/>
      <c r="AH3" s="43"/>
      <c r="AI3" s="129">
        <f>AF3+1</f>
        <v>15</v>
      </c>
      <c r="AJ3" s="43"/>
      <c r="AK3" s="43"/>
      <c r="AL3" s="129">
        <f>AI3+1</f>
        <v>16</v>
      </c>
      <c r="AM3" s="44"/>
      <c r="AN3" s="44"/>
      <c r="AO3" s="129">
        <f>AL3+1</f>
        <v>17</v>
      </c>
    </row>
    <row r="4" spans="1:46" ht="13.15" customHeight="1" x14ac:dyDescent="0.2">
      <c r="A4" s="164" t="s">
        <v>162</v>
      </c>
      <c r="B4" s="164" t="s">
        <v>2</v>
      </c>
      <c r="C4" s="178" t="s">
        <v>184</v>
      </c>
      <c r="D4" s="165" t="s">
        <v>157</v>
      </c>
      <c r="E4" s="178" t="s">
        <v>118</v>
      </c>
      <c r="F4" s="165" t="s">
        <v>119</v>
      </c>
      <c r="G4" s="165" t="s">
        <v>120</v>
      </c>
      <c r="H4" s="165" t="s">
        <v>158</v>
      </c>
      <c r="I4" s="178" t="s">
        <v>121</v>
      </c>
      <c r="J4" s="165" t="s">
        <v>122</v>
      </c>
      <c r="K4" s="165" t="s">
        <v>159</v>
      </c>
      <c r="L4" s="178" t="s">
        <v>123</v>
      </c>
      <c r="M4" s="165" t="s">
        <v>157</v>
      </c>
      <c r="N4" s="178" t="s">
        <v>96</v>
      </c>
      <c r="O4" s="165" t="s">
        <v>157</v>
      </c>
      <c r="P4" s="178" t="s">
        <v>124</v>
      </c>
      <c r="Q4" s="165" t="s">
        <v>157</v>
      </c>
      <c r="R4" s="178" t="s">
        <v>125</v>
      </c>
      <c r="S4" s="165" t="s">
        <v>157</v>
      </c>
      <c r="T4" s="178" t="s">
        <v>63</v>
      </c>
      <c r="U4" s="165" t="s">
        <v>157</v>
      </c>
      <c r="V4" s="178" t="s">
        <v>64</v>
      </c>
      <c r="W4" s="165" t="s">
        <v>157</v>
      </c>
      <c r="X4" s="178" t="s">
        <v>126</v>
      </c>
      <c r="Y4" s="165" t="s">
        <v>157</v>
      </c>
      <c r="Z4" s="178" t="s">
        <v>127</v>
      </c>
      <c r="AA4" s="165" t="s">
        <v>157</v>
      </c>
      <c r="AB4" s="178" t="s">
        <v>128</v>
      </c>
      <c r="AC4" s="165" t="s">
        <v>157</v>
      </c>
      <c r="AD4" s="178" t="s">
        <v>129</v>
      </c>
      <c r="AE4" s="178" t="s">
        <v>130</v>
      </c>
      <c r="AF4" s="178" t="s">
        <v>131</v>
      </c>
      <c r="AG4" s="165" t="s">
        <v>132</v>
      </c>
      <c r="AH4" s="165" t="s">
        <v>160</v>
      </c>
      <c r="AI4" s="178" t="s">
        <v>133</v>
      </c>
      <c r="AJ4" s="165" t="s">
        <v>137</v>
      </c>
      <c r="AK4" s="165" t="s">
        <v>65</v>
      </c>
      <c r="AL4" s="178" t="s">
        <v>134</v>
      </c>
      <c r="AM4" s="165" t="s">
        <v>135</v>
      </c>
      <c r="AN4" s="165" t="s">
        <v>161</v>
      </c>
      <c r="AO4" s="178" t="s">
        <v>136</v>
      </c>
      <c r="AP4" s="178" t="s">
        <v>66</v>
      </c>
      <c r="AQ4" s="178" t="s">
        <v>10</v>
      </c>
      <c r="AR4" s="178" t="s">
        <v>35</v>
      </c>
    </row>
    <row r="5" spans="1:46" ht="13.15" customHeight="1" x14ac:dyDescent="0.2">
      <c r="A5" s="164"/>
      <c r="B5" s="179"/>
      <c r="C5" s="178"/>
      <c r="D5" s="165"/>
      <c r="E5" s="178"/>
      <c r="F5" s="165"/>
      <c r="G5" s="165"/>
      <c r="H5" s="165"/>
      <c r="I5" s="178"/>
      <c r="J5" s="165"/>
      <c r="K5" s="165"/>
      <c r="L5" s="178"/>
      <c r="M5" s="165"/>
      <c r="N5" s="178"/>
      <c r="O5" s="165"/>
      <c r="P5" s="178"/>
      <c r="Q5" s="165"/>
      <c r="R5" s="178"/>
      <c r="S5" s="165"/>
      <c r="T5" s="178"/>
      <c r="U5" s="165"/>
      <c r="V5" s="178"/>
      <c r="W5" s="165"/>
      <c r="X5" s="178"/>
      <c r="Y5" s="165"/>
      <c r="Z5" s="178"/>
      <c r="AA5" s="165"/>
      <c r="AB5" s="178"/>
      <c r="AC5" s="165"/>
      <c r="AD5" s="178"/>
      <c r="AE5" s="178"/>
      <c r="AF5" s="178"/>
      <c r="AG5" s="165"/>
      <c r="AH5" s="165"/>
      <c r="AI5" s="178"/>
      <c r="AJ5" s="165"/>
      <c r="AK5" s="165"/>
      <c r="AL5" s="178"/>
      <c r="AM5" s="165"/>
      <c r="AN5" s="165"/>
      <c r="AO5" s="178"/>
      <c r="AP5" s="178"/>
      <c r="AQ5" s="178"/>
      <c r="AR5" s="178"/>
    </row>
    <row r="6" spans="1:46" ht="152.25" customHeight="1" x14ac:dyDescent="0.2">
      <c r="A6" s="164"/>
      <c r="B6" s="164"/>
      <c r="C6" s="178"/>
      <c r="D6" s="165"/>
      <c r="E6" s="178"/>
      <c r="F6" s="165"/>
      <c r="G6" s="165"/>
      <c r="H6" s="165"/>
      <c r="I6" s="178"/>
      <c r="J6" s="165"/>
      <c r="K6" s="165"/>
      <c r="L6" s="178"/>
      <c r="M6" s="165"/>
      <c r="N6" s="178"/>
      <c r="O6" s="165"/>
      <c r="P6" s="178"/>
      <c r="Q6" s="165"/>
      <c r="R6" s="178"/>
      <c r="S6" s="165"/>
      <c r="T6" s="178"/>
      <c r="U6" s="165"/>
      <c r="V6" s="178"/>
      <c r="W6" s="165"/>
      <c r="X6" s="178"/>
      <c r="Y6" s="165"/>
      <c r="Z6" s="178"/>
      <c r="AA6" s="165"/>
      <c r="AB6" s="178"/>
      <c r="AC6" s="165"/>
      <c r="AD6" s="178"/>
      <c r="AE6" s="178"/>
      <c r="AF6" s="178"/>
      <c r="AG6" s="165"/>
      <c r="AH6" s="165"/>
      <c r="AI6" s="178"/>
      <c r="AJ6" s="165"/>
      <c r="AK6" s="165"/>
      <c r="AL6" s="178"/>
      <c r="AM6" s="165"/>
      <c r="AN6" s="165"/>
      <c r="AO6" s="178"/>
      <c r="AP6" s="178"/>
      <c r="AQ6" s="178"/>
      <c r="AR6" s="178"/>
      <c r="AT6" s="7"/>
    </row>
    <row r="7" spans="1:46" x14ac:dyDescent="0.2">
      <c r="A7" s="181" t="s">
        <v>67</v>
      </c>
      <c r="B7" s="182"/>
      <c r="C7" s="157">
        <v>1</v>
      </c>
      <c r="D7" s="157">
        <v>2</v>
      </c>
      <c r="E7" s="157" t="s">
        <v>138</v>
      </c>
      <c r="F7" s="157" t="s">
        <v>139</v>
      </c>
      <c r="G7" s="154" t="s">
        <v>140</v>
      </c>
      <c r="H7" s="157">
        <v>6</v>
      </c>
      <c r="I7" s="157" t="s">
        <v>163</v>
      </c>
      <c r="J7" s="157">
        <v>8</v>
      </c>
      <c r="K7" s="157">
        <v>9</v>
      </c>
      <c r="L7" s="157" t="s">
        <v>141</v>
      </c>
      <c r="M7" s="157">
        <v>11</v>
      </c>
      <c r="N7" s="157" t="s">
        <v>142</v>
      </c>
      <c r="O7" s="157">
        <v>13</v>
      </c>
      <c r="P7" s="157" t="s">
        <v>143</v>
      </c>
      <c r="Q7" s="157">
        <v>15</v>
      </c>
      <c r="R7" s="157" t="s">
        <v>144</v>
      </c>
      <c r="S7" s="157">
        <v>17</v>
      </c>
      <c r="T7" s="157" t="s">
        <v>145</v>
      </c>
      <c r="U7" s="157">
        <v>19</v>
      </c>
      <c r="V7" s="157" t="s">
        <v>146</v>
      </c>
      <c r="W7" s="157">
        <v>21</v>
      </c>
      <c r="X7" s="157" t="s">
        <v>147</v>
      </c>
      <c r="Y7" s="157">
        <v>23</v>
      </c>
      <c r="Z7" s="157" t="s">
        <v>148</v>
      </c>
      <c r="AA7" s="157">
        <v>25</v>
      </c>
      <c r="AB7" s="157" t="s">
        <v>149</v>
      </c>
      <c r="AC7" s="157">
        <v>27</v>
      </c>
      <c r="AD7" s="157" t="s">
        <v>150</v>
      </c>
      <c r="AE7" s="157">
        <v>29</v>
      </c>
      <c r="AF7" s="157">
        <v>30</v>
      </c>
      <c r="AG7" s="157">
        <v>31</v>
      </c>
      <c r="AH7" s="157">
        <v>32</v>
      </c>
      <c r="AI7" s="157" t="s">
        <v>151</v>
      </c>
      <c r="AJ7" s="157">
        <v>34</v>
      </c>
      <c r="AK7" s="157">
        <v>35</v>
      </c>
      <c r="AL7" s="157" t="s">
        <v>152</v>
      </c>
      <c r="AM7" s="157">
        <v>37</v>
      </c>
      <c r="AN7" s="157">
        <v>38</v>
      </c>
      <c r="AO7" s="157" t="s">
        <v>153</v>
      </c>
      <c r="AP7" s="157" t="s">
        <v>154</v>
      </c>
      <c r="AQ7" s="157" t="s">
        <v>155</v>
      </c>
      <c r="AR7" s="155" t="s">
        <v>156</v>
      </c>
    </row>
    <row r="8" spans="1:46" ht="13.5" x14ac:dyDescent="0.25">
      <c r="A8" s="180"/>
      <c r="B8" s="180"/>
      <c r="C8" s="135" t="s">
        <v>37</v>
      </c>
      <c r="D8" s="137"/>
      <c r="E8" s="138"/>
      <c r="F8" s="137"/>
      <c r="G8" s="137"/>
      <c r="H8" s="137"/>
      <c r="I8" s="138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9"/>
      <c r="AN8" s="157"/>
      <c r="AO8" s="139"/>
      <c r="AP8" s="140"/>
      <c r="AQ8" s="140"/>
      <c r="AR8" s="141" t="s">
        <v>8</v>
      </c>
    </row>
    <row r="9" spans="1:46" s="132" customFormat="1" ht="15.75" x14ac:dyDescent="0.25">
      <c r="A9" s="63">
        <v>1</v>
      </c>
      <c r="B9" s="18" t="s">
        <v>172</v>
      </c>
      <c r="C9" s="142">
        <f>ИНП2026!C9</f>
        <v>1576</v>
      </c>
      <c r="D9" s="75">
        <v>0.60699999999999998</v>
      </c>
      <c r="E9" s="56">
        <f>C9*D9</f>
        <v>956.63199999999995</v>
      </c>
      <c r="F9" s="67">
        <f>ROUND(C9*5%,0)</f>
        <v>79</v>
      </c>
      <c r="G9" s="67">
        <f>F9*18</f>
        <v>1422</v>
      </c>
      <c r="H9" s="67"/>
      <c r="I9" s="56">
        <f>G9*H9/1000*1%</f>
        <v>0</v>
      </c>
      <c r="J9" s="130"/>
      <c r="K9" s="130"/>
      <c r="L9" s="56">
        <f>J9*K9</f>
        <v>0</v>
      </c>
      <c r="M9" s="75">
        <v>6.7000000000000004E-2</v>
      </c>
      <c r="N9" s="56">
        <f>C9*M9</f>
        <v>105.59200000000001</v>
      </c>
      <c r="O9" s="75"/>
      <c r="P9" s="56">
        <f>C9*O9</f>
        <v>0</v>
      </c>
      <c r="Q9" s="75"/>
      <c r="R9" s="56">
        <f>C9*Q9</f>
        <v>0</v>
      </c>
      <c r="S9" s="75">
        <v>3.5000000000000001E-3</v>
      </c>
      <c r="T9" s="56">
        <f>C9*S9</f>
        <v>5.516</v>
      </c>
      <c r="U9" s="75"/>
      <c r="V9" s="56">
        <f>C9*U9</f>
        <v>0</v>
      </c>
      <c r="W9" s="75">
        <v>1.0800000000000001E-2</v>
      </c>
      <c r="X9" s="56">
        <f>C9*W9</f>
        <v>17.020800000000001</v>
      </c>
      <c r="Y9" s="75">
        <v>1.0800000000000001E-2</v>
      </c>
      <c r="Z9" s="56">
        <f>C9*Y9</f>
        <v>17.020800000000001</v>
      </c>
      <c r="AA9" s="75">
        <v>0.17374999999999999</v>
      </c>
      <c r="AB9" s="56">
        <f>C9*AA9</f>
        <v>273.83</v>
      </c>
      <c r="AC9" s="75">
        <v>3.0500000000000002E-3</v>
      </c>
      <c r="AD9" s="56">
        <f t="shared" ref="AD9:AD19" si="0">C9*AC9</f>
        <v>4.8068</v>
      </c>
      <c r="AE9" s="56"/>
      <c r="AF9" s="56">
        <v>10</v>
      </c>
      <c r="AG9" s="67"/>
      <c r="AH9" s="75">
        <v>100</v>
      </c>
      <c r="AI9" s="56">
        <f>AG9*AH9</f>
        <v>0</v>
      </c>
      <c r="AJ9" s="67"/>
      <c r="AK9" s="75"/>
      <c r="AL9" s="56">
        <f>AJ9*AK9</f>
        <v>0</v>
      </c>
      <c r="AM9" s="61">
        <v>200</v>
      </c>
      <c r="AN9" s="61">
        <v>5.5</v>
      </c>
      <c r="AO9" s="56">
        <f>AM9*AN9*12/1000</f>
        <v>13.2</v>
      </c>
      <c r="AP9" s="58">
        <f>E9+I9+L9+N9+P9+R9+T9+V9+X9+Z9+AB9+AD9+AE9+AF9+AI9+AL9+AO9</f>
        <v>1403.6184000000001</v>
      </c>
      <c r="AQ9" s="143">
        <f t="shared" ref="AQ9:AQ19" si="1">AP9/C9</f>
        <v>0.89062081218274114</v>
      </c>
      <c r="AR9" s="144">
        <f t="shared" ref="AR9:AR19" si="2">ROUND((AP9/C9)/($AP$20/$C$20),5)</f>
        <v>1.29013</v>
      </c>
      <c r="AS9" s="131"/>
    </row>
    <row r="10" spans="1:46" s="132" customFormat="1" ht="15.75" x14ac:dyDescent="0.25">
      <c r="A10" s="63">
        <v>2</v>
      </c>
      <c r="B10" s="18" t="s">
        <v>173</v>
      </c>
      <c r="C10" s="142">
        <f>ИНП2026!C10</f>
        <v>734</v>
      </c>
      <c r="D10" s="75">
        <v>0.63600000000000001</v>
      </c>
      <c r="E10" s="56">
        <f t="shared" ref="E10:E19" si="3">C10*D10</f>
        <v>466.82400000000001</v>
      </c>
      <c r="F10" s="67">
        <f t="shared" ref="F10:F19" si="4">ROUND(C10*5%,0)</f>
        <v>37</v>
      </c>
      <c r="G10" s="67">
        <f t="shared" ref="G10:G19" si="5">F10*18</f>
        <v>666</v>
      </c>
      <c r="H10" s="67"/>
      <c r="I10" s="56">
        <f t="shared" ref="I10:I19" si="6">G10*H10/1000*1%</f>
        <v>0</v>
      </c>
      <c r="J10" s="130"/>
      <c r="K10" s="130"/>
      <c r="L10" s="56">
        <f t="shared" ref="L10:L19" si="7">J10*K10</f>
        <v>0</v>
      </c>
      <c r="M10" s="75">
        <v>6.7000000000000004E-2</v>
      </c>
      <c r="N10" s="56">
        <f t="shared" ref="N10:N19" si="8">C10*M10</f>
        <v>49.178000000000004</v>
      </c>
      <c r="O10" s="75"/>
      <c r="P10" s="56">
        <f t="shared" ref="P10:P19" si="9">C10*O10</f>
        <v>0</v>
      </c>
      <c r="Q10" s="75"/>
      <c r="R10" s="56">
        <f t="shared" ref="R10:R19" si="10">C10*Q10</f>
        <v>0</v>
      </c>
      <c r="S10" s="75">
        <v>3.5000000000000001E-3</v>
      </c>
      <c r="T10" s="56">
        <f t="shared" ref="T10:T19" si="11">C10*S10</f>
        <v>2.569</v>
      </c>
      <c r="U10" s="75"/>
      <c r="V10" s="56">
        <f t="shared" ref="V10:V19" si="12">C10*U10</f>
        <v>0</v>
      </c>
      <c r="W10" s="75">
        <v>1.0800000000000001E-2</v>
      </c>
      <c r="X10" s="56">
        <f t="shared" ref="X10:X19" si="13">C10*W10</f>
        <v>7.9272</v>
      </c>
      <c r="Y10" s="75">
        <v>1.0800000000000001E-2</v>
      </c>
      <c r="Z10" s="56">
        <f t="shared" ref="Z10:Z19" si="14">C10*Y10</f>
        <v>7.9272</v>
      </c>
      <c r="AA10" s="75">
        <v>0.17374999999999999</v>
      </c>
      <c r="AB10" s="56">
        <f t="shared" ref="AB10:AB19" si="15">C10*AA10</f>
        <v>127.53249999999998</v>
      </c>
      <c r="AC10" s="75">
        <v>3.0500000000000002E-3</v>
      </c>
      <c r="AD10" s="56">
        <f t="shared" si="0"/>
        <v>2.2387000000000001</v>
      </c>
      <c r="AE10" s="56"/>
      <c r="AF10" s="56">
        <v>10</v>
      </c>
      <c r="AG10" s="67"/>
      <c r="AH10" s="75">
        <v>100</v>
      </c>
      <c r="AI10" s="56">
        <f>AG10*AH10</f>
        <v>0</v>
      </c>
      <c r="AJ10" s="67"/>
      <c r="AK10" s="75"/>
      <c r="AL10" s="56">
        <f t="shared" ref="AL10:AL19" si="16">AJ10*AK10</f>
        <v>0</v>
      </c>
      <c r="AM10" s="61"/>
      <c r="AN10" s="61">
        <v>5.5</v>
      </c>
      <c r="AO10" s="56">
        <f t="shared" ref="AO10:AO19" si="17">AM10*AN10*12/1000</f>
        <v>0</v>
      </c>
      <c r="AP10" s="58">
        <f t="shared" ref="AP10:AP19" si="18">E10+I10+L10+N10+P10+R10+T10+V10+X10+Z10+AB10+AD10+AE10+AF10+AI10+AL10+AO10</f>
        <v>674.19659999999999</v>
      </c>
      <c r="AQ10" s="143">
        <f t="shared" si="1"/>
        <v>0.91852397820163489</v>
      </c>
      <c r="AR10" s="144">
        <f t="shared" si="2"/>
        <v>1.3305400000000001</v>
      </c>
      <c r="AS10" s="131"/>
    </row>
    <row r="11" spans="1:46" s="132" customFormat="1" ht="15.75" x14ac:dyDescent="0.25">
      <c r="A11" s="63">
        <v>3</v>
      </c>
      <c r="B11" s="18" t="s">
        <v>174</v>
      </c>
      <c r="C11" s="142">
        <f>ИНП2026!C11</f>
        <v>3224</v>
      </c>
      <c r="D11" s="75"/>
      <c r="E11" s="56">
        <f t="shared" si="3"/>
        <v>0</v>
      </c>
      <c r="F11" s="67">
        <f t="shared" si="4"/>
        <v>161</v>
      </c>
      <c r="G11" s="67">
        <f t="shared" si="5"/>
        <v>2898</v>
      </c>
      <c r="H11" s="67"/>
      <c r="I11" s="56">
        <f t="shared" si="6"/>
        <v>0</v>
      </c>
      <c r="J11" s="130"/>
      <c r="K11" s="130"/>
      <c r="L11" s="56">
        <f t="shared" si="7"/>
        <v>0</v>
      </c>
      <c r="M11" s="75">
        <v>6.7000000000000004E-2</v>
      </c>
      <c r="N11" s="56">
        <f t="shared" si="8"/>
        <v>216.00800000000001</v>
      </c>
      <c r="O11" s="75"/>
      <c r="P11" s="56">
        <f t="shared" si="9"/>
        <v>0</v>
      </c>
      <c r="Q11" s="75"/>
      <c r="R11" s="56">
        <f t="shared" si="10"/>
        <v>0</v>
      </c>
      <c r="S11" s="75">
        <v>3.5000000000000001E-3</v>
      </c>
      <c r="T11" s="56">
        <f t="shared" si="11"/>
        <v>11.284000000000001</v>
      </c>
      <c r="U11" s="75"/>
      <c r="V11" s="56">
        <f t="shared" si="12"/>
        <v>0</v>
      </c>
      <c r="W11" s="75">
        <v>1.0800000000000001E-2</v>
      </c>
      <c r="X11" s="56">
        <f t="shared" si="13"/>
        <v>34.819200000000002</v>
      </c>
      <c r="Y11" s="75">
        <v>1.0800000000000001E-2</v>
      </c>
      <c r="Z11" s="56">
        <f t="shared" si="14"/>
        <v>34.819200000000002</v>
      </c>
      <c r="AA11" s="75">
        <v>0.17374999999999999</v>
      </c>
      <c r="AB11" s="56">
        <f t="shared" si="15"/>
        <v>560.16999999999996</v>
      </c>
      <c r="AC11" s="75">
        <v>3.0500000000000002E-3</v>
      </c>
      <c r="AD11" s="56">
        <f t="shared" si="0"/>
        <v>9.8332000000000015</v>
      </c>
      <c r="AE11" s="56"/>
      <c r="AF11" s="56"/>
      <c r="AG11" s="67"/>
      <c r="AH11" s="75">
        <v>100</v>
      </c>
      <c r="AI11" s="56">
        <f t="shared" ref="AI11:AI19" si="19">AG11*AH11</f>
        <v>0</v>
      </c>
      <c r="AJ11" s="67"/>
      <c r="AK11" s="75"/>
      <c r="AL11" s="56">
        <f t="shared" si="16"/>
        <v>0</v>
      </c>
      <c r="AM11" s="61">
        <v>245.5</v>
      </c>
      <c r="AN11" s="61">
        <v>5.5</v>
      </c>
      <c r="AO11" s="56">
        <f t="shared" si="17"/>
        <v>16.202999999999999</v>
      </c>
      <c r="AP11" s="58">
        <f t="shared" si="18"/>
        <v>883.13660000000004</v>
      </c>
      <c r="AQ11" s="143">
        <f t="shared" si="1"/>
        <v>0.27392574441687345</v>
      </c>
      <c r="AR11" s="144">
        <f t="shared" si="2"/>
        <v>0.39679999999999999</v>
      </c>
      <c r="AS11" s="131"/>
    </row>
    <row r="12" spans="1:46" s="132" customFormat="1" ht="15.75" x14ac:dyDescent="0.25">
      <c r="A12" s="63">
        <v>4</v>
      </c>
      <c r="B12" s="18" t="s">
        <v>175</v>
      </c>
      <c r="C12" s="142">
        <f>ИНП2026!C12</f>
        <v>906</v>
      </c>
      <c r="D12" s="75">
        <v>0.63600000000000001</v>
      </c>
      <c r="E12" s="56">
        <f t="shared" si="3"/>
        <v>576.21600000000001</v>
      </c>
      <c r="F12" s="67">
        <f t="shared" si="4"/>
        <v>45</v>
      </c>
      <c r="G12" s="67">
        <f t="shared" si="5"/>
        <v>810</v>
      </c>
      <c r="H12" s="67"/>
      <c r="I12" s="56">
        <f t="shared" si="6"/>
        <v>0</v>
      </c>
      <c r="J12" s="130"/>
      <c r="K12" s="130"/>
      <c r="L12" s="56">
        <f t="shared" si="7"/>
        <v>0</v>
      </c>
      <c r="M12" s="75">
        <v>6.7000000000000004E-2</v>
      </c>
      <c r="N12" s="56">
        <f t="shared" si="8"/>
        <v>60.702000000000005</v>
      </c>
      <c r="O12" s="75"/>
      <c r="P12" s="56">
        <f t="shared" si="9"/>
        <v>0</v>
      </c>
      <c r="Q12" s="75"/>
      <c r="R12" s="56">
        <f>C12*Q12</f>
        <v>0</v>
      </c>
      <c r="S12" s="75">
        <v>3.5000000000000001E-3</v>
      </c>
      <c r="T12" s="56">
        <f t="shared" si="11"/>
        <v>3.1710000000000003</v>
      </c>
      <c r="U12" s="75"/>
      <c r="V12" s="56">
        <f t="shared" si="12"/>
        <v>0</v>
      </c>
      <c r="W12" s="75">
        <v>1.0800000000000001E-2</v>
      </c>
      <c r="X12" s="56">
        <f t="shared" si="13"/>
        <v>9.7848000000000006</v>
      </c>
      <c r="Y12" s="75">
        <v>1.0800000000000001E-2</v>
      </c>
      <c r="Z12" s="56">
        <f t="shared" si="14"/>
        <v>9.7848000000000006</v>
      </c>
      <c r="AA12" s="75">
        <v>0.17374999999999999</v>
      </c>
      <c r="AB12" s="56">
        <f t="shared" si="15"/>
        <v>157.41749999999999</v>
      </c>
      <c r="AC12" s="75">
        <v>3.0500000000000002E-3</v>
      </c>
      <c r="AD12" s="56">
        <f t="shared" si="0"/>
        <v>2.7633000000000001</v>
      </c>
      <c r="AE12" s="56"/>
      <c r="AF12" s="56">
        <v>10</v>
      </c>
      <c r="AG12" s="67"/>
      <c r="AH12" s="75">
        <v>100</v>
      </c>
      <c r="AI12" s="56">
        <f t="shared" si="19"/>
        <v>0</v>
      </c>
      <c r="AJ12" s="67"/>
      <c r="AK12" s="75"/>
      <c r="AL12" s="56">
        <f t="shared" si="16"/>
        <v>0</v>
      </c>
      <c r="AM12" s="61"/>
      <c r="AN12" s="61">
        <v>5.5</v>
      </c>
      <c r="AO12" s="56">
        <f t="shared" si="17"/>
        <v>0</v>
      </c>
      <c r="AP12" s="58">
        <f t="shared" si="18"/>
        <v>829.83940000000007</v>
      </c>
      <c r="AQ12" s="143">
        <f t="shared" si="1"/>
        <v>0.91593752759381908</v>
      </c>
      <c r="AR12" s="144">
        <f t="shared" si="2"/>
        <v>1.3268</v>
      </c>
      <c r="AS12" s="131"/>
    </row>
    <row r="13" spans="1:46" s="132" customFormat="1" ht="15.75" x14ac:dyDescent="0.25">
      <c r="A13" s="63">
        <v>5</v>
      </c>
      <c r="B13" s="18" t="s">
        <v>176</v>
      </c>
      <c r="C13" s="142">
        <f>ИНП2026!C13</f>
        <v>941</v>
      </c>
      <c r="D13" s="75">
        <v>0.60699999999999998</v>
      </c>
      <c r="E13" s="56">
        <f t="shared" si="3"/>
        <v>571.18700000000001</v>
      </c>
      <c r="F13" s="67">
        <f t="shared" si="4"/>
        <v>47</v>
      </c>
      <c r="G13" s="67">
        <f t="shared" si="5"/>
        <v>846</v>
      </c>
      <c r="H13" s="67"/>
      <c r="I13" s="56">
        <f t="shared" si="6"/>
        <v>0</v>
      </c>
      <c r="J13" s="130"/>
      <c r="K13" s="130"/>
      <c r="L13" s="56">
        <f t="shared" si="7"/>
        <v>0</v>
      </c>
      <c r="M13" s="75">
        <v>6.7000000000000004E-2</v>
      </c>
      <c r="N13" s="56">
        <f t="shared" si="8"/>
        <v>63.047000000000004</v>
      </c>
      <c r="O13" s="75"/>
      <c r="P13" s="56">
        <f t="shared" si="9"/>
        <v>0</v>
      </c>
      <c r="Q13" s="75"/>
      <c r="R13" s="56">
        <f t="shared" si="10"/>
        <v>0</v>
      </c>
      <c r="S13" s="75">
        <v>3.5000000000000001E-3</v>
      </c>
      <c r="T13" s="56">
        <f t="shared" si="11"/>
        <v>3.2934999999999999</v>
      </c>
      <c r="U13" s="75"/>
      <c r="V13" s="56">
        <f t="shared" si="12"/>
        <v>0</v>
      </c>
      <c r="W13" s="75">
        <v>1.0800000000000001E-2</v>
      </c>
      <c r="X13" s="56">
        <f t="shared" si="13"/>
        <v>10.162800000000001</v>
      </c>
      <c r="Y13" s="75">
        <v>1.0800000000000001E-2</v>
      </c>
      <c r="Z13" s="56">
        <f t="shared" si="14"/>
        <v>10.162800000000001</v>
      </c>
      <c r="AA13" s="75">
        <v>0.17374999999999999</v>
      </c>
      <c r="AB13" s="56">
        <f t="shared" si="15"/>
        <v>163.49875</v>
      </c>
      <c r="AC13" s="75">
        <v>3.0500000000000002E-3</v>
      </c>
      <c r="AD13" s="56">
        <f t="shared" si="0"/>
        <v>2.87005</v>
      </c>
      <c r="AE13" s="56"/>
      <c r="AF13" s="56">
        <v>10</v>
      </c>
      <c r="AG13" s="67"/>
      <c r="AH13" s="75">
        <v>100</v>
      </c>
      <c r="AI13" s="56">
        <f t="shared" si="19"/>
        <v>0</v>
      </c>
      <c r="AJ13" s="67"/>
      <c r="AK13" s="75"/>
      <c r="AL13" s="56">
        <f t="shared" si="16"/>
        <v>0</v>
      </c>
      <c r="AM13" s="61"/>
      <c r="AN13" s="61">
        <v>5.5</v>
      </c>
      <c r="AO13" s="56">
        <f t="shared" si="17"/>
        <v>0</v>
      </c>
      <c r="AP13" s="58">
        <f t="shared" si="18"/>
        <v>834.22189999999989</v>
      </c>
      <c r="AQ13" s="143">
        <f t="shared" si="1"/>
        <v>0.88652699256110512</v>
      </c>
      <c r="AR13" s="144">
        <f t="shared" si="2"/>
        <v>1.2842</v>
      </c>
      <c r="AS13" s="131"/>
    </row>
    <row r="14" spans="1:46" s="132" customFormat="1" ht="15.75" x14ac:dyDescent="0.25">
      <c r="A14" s="63">
        <v>6</v>
      </c>
      <c r="B14" s="18" t="s">
        <v>177</v>
      </c>
      <c r="C14" s="142">
        <f>ИНП2026!C14</f>
        <v>1468</v>
      </c>
      <c r="D14" s="75">
        <v>0.60699999999999998</v>
      </c>
      <c r="E14" s="56">
        <f t="shared" si="3"/>
        <v>891.07600000000002</v>
      </c>
      <c r="F14" s="67">
        <f t="shared" si="4"/>
        <v>73</v>
      </c>
      <c r="G14" s="67">
        <f t="shared" si="5"/>
        <v>1314</v>
      </c>
      <c r="H14" s="67"/>
      <c r="I14" s="56">
        <f t="shared" si="6"/>
        <v>0</v>
      </c>
      <c r="J14" s="130"/>
      <c r="K14" s="130"/>
      <c r="L14" s="56">
        <f t="shared" si="7"/>
        <v>0</v>
      </c>
      <c r="M14" s="75">
        <v>6.7000000000000004E-2</v>
      </c>
      <c r="N14" s="56">
        <f t="shared" si="8"/>
        <v>98.356000000000009</v>
      </c>
      <c r="O14" s="75"/>
      <c r="P14" s="56">
        <f t="shared" si="9"/>
        <v>0</v>
      </c>
      <c r="Q14" s="75"/>
      <c r="R14" s="56">
        <f t="shared" si="10"/>
        <v>0</v>
      </c>
      <c r="S14" s="75">
        <v>3.5000000000000001E-3</v>
      </c>
      <c r="T14" s="56">
        <f t="shared" si="11"/>
        <v>5.1379999999999999</v>
      </c>
      <c r="U14" s="75"/>
      <c r="V14" s="56">
        <f t="shared" si="12"/>
        <v>0</v>
      </c>
      <c r="W14" s="75">
        <v>1.0800000000000001E-2</v>
      </c>
      <c r="X14" s="56">
        <f t="shared" si="13"/>
        <v>15.8544</v>
      </c>
      <c r="Y14" s="75">
        <v>1.0800000000000001E-2</v>
      </c>
      <c r="Z14" s="56">
        <f t="shared" si="14"/>
        <v>15.8544</v>
      </c>
      <c r="AA14" s="75">
        <v>0.17374999999999999</v>
      </c>
      <c r="AB14" s="56">
        <f t="shared" si="15"/>
        <v>255.06499999999997</v>
      </c>
      <c r="AC14" s="75">
        <v>3.0500000000000002E-3</v>
      </c>
      <c r="AD14" s="56">
        <f t="shared" si="0"/>
        <v>4.4774000000000003</v>
      </c>
      <c r="AE14" s="56"/>
      <c r="AF14" s="56">
        <v>10</v>
      </c>
      <c r="AG14" s="67"/>
      <c r="AH14" s="75">
        <v>100</v>
      </c>
      <c r="AI14" s="56">
        <f t="shared" si="19"/>
        <v>0</v>
      </c>
      <c r="AJ14" s="67"/>
      <c r="AK14" s="75"/>
      <c r="AL14" s="56">
        <f t="shared" si="16"/>
        <v>0</v>
      </c>
      <c r="AM14" s="61"/>
      <c r="AN14" s="61">
        <v>5.5</v>
      </c>
      <c r="AO14" s="56">
        <f t="shared" si="17"/>
        <v>0</v>
      </c>
      <c r="AP14" s="58">
        <f t="shared" si="18"/>
        <v>1295.8212000000001</v>
      </c>
      <c r="AQ14" s="143">
        <f t="shared" si="1"/>
        <v>0.8827119891008175</v>
      </c>
      <c r="AR14" s="144">
        <f t="shared" si="2"/>
        <v>1.27867</v>
      </c>
      <c r="AS14" s="131"/>
    </row>
    <row r="15" spans="1:46" s="132" customFormat="1" ht="15.75" x14ac:dyDescent="0.25">
      <c r="A15" s="63">
        <v>7</v>
      </c>
      <c r="B15" s="18" t="s">
        <v>178</v>
      </c>
      <c r="C15" s="142">
        <f>ИНП2026!C15</f>
        <v>959</v>
      </c>
      <c r="D15" s="75">
        <v>0.60699999999999998</v>
      </c>
      <c r="E15" s="56">
        <f t="shared" si="3"/>
        <v>582.11299999999994</v>
      </c>
      <c r="F15" s="67">
        <f t="shared" si="4"/>
        <v>48</v>
      </c>
      <c r="G15" s="67">
        <f t="shared" si="5"/>
        <v>864</v>
      </c>
      <c r="H15" s="67"/>
      <c r="I15" s="56">
        <f t="shared" si="6"/>
        <v>0</v>
      </c>
      <c r="J15" s="130"/>
      <c r="K15" s="130"/>
      <c r="L15" s="56">
        <f t="shared" si="7"/>
        <v>0</v>
      </c>
      <c r="M15" s="75">
        <v>6.7000000000000004E-2</v>
      </c>
      <c r="N15" s="56">
        <f t="shared" si="8"/>
        <v>64.253</v>
      </c>
      <c r="O15" s="75"/>
      <c r="P15" s="56">
        <f t="shared" si="9"/>
        <v>0</v>
      </c>
      <c r="Q15" s="75"/>
      <c r="R15" s="56">
        <f t="shared" si="10"/>
        <v>0</v>
      </c>
      <c r="S15" s="75">
        <v>3.5000000000000001E-3</v>
      </c>
      <c r="T15" s="56">
        <f t="shared" si="11"/>
        <v>3.3565</v>
      </c>
      <c r="U15" s="75"/>
      <c r="V15" s="56">
        <f t="shared" si="12"/>
        <v>0</v>
      </c>
      <c r="W15" s="75">
        <v>1.0800000000000001E-2</v>
      </c>
      <c r="X15" s="56">
        <f t="shared" si="13"/>
        <v>10.357200000000001</v>
      </c>
      <c r="Y15" s="75">
        <v>1.0800000000000001E-2</v>
      </c>
      <c r="Z15" s="56">
        <f t="shared" si="14"/>
        <v>10.357200000000001</v>
      </c>
      <c r="AA15" s="75">
        <v>0.17374999999999999</v>
      </c>
      <c r="AB15" s="56">
        <f t="shared" si="15"/>
        <v>166.62625</v>
      </c>
      <c r="AC15" s="75">
        <v>3.0500000000000002E-3</v>
      </c>
      <c r="AD15" s="56">
        <f t="shared" si="0"/>
        <v>2.9249500000000004</v>
      </c>
      <c r="AE15" s="56"/>
      <c r="AF15" s="56">
        <v>10</v>
      </c>
      <c r="AG15" s="67"/>
      <c r="AH15" s="75">
        <v>100</v>
      </c>
      <c r="AI15" s="56">
        <f t="shared" si="19"/>
        <v>0</v>
      </c>
      <c r="AJ15" s="67"/>
      <c r="AK15" s="75"/>
      <c r="AL15" s="56">
        <f t="shared" si="16"/>
        <v>0</v>
      </c>
      <c r="AM15" s="61"/>
      <c r="AN15" s="61">
        <v>5.5</v>
      </c>
      <c r="AO15" s="56">
        <f t="shared" si="17"/>
        <v>0</v>
      </c>
      <c r="AP15" s="58">
        <f t="shared" si="18"/>
        <v>849.98810000000003</v>
      </c>
      <c r="AQ15" s="143">
        <f t="shared" si="1"/>
        <v>0.88632752867570386</v>
      </c>
      <c r="AR15" s="144">
        <f t="shared" si="2"/>
        <v>1.2839100000000001</v>
      </c>
      <c r="AS15" s="131"/>
    </row>
    <row r="16" spans="1:46" s="132" customFormat="1" ht="15.75" x14ac:dyDescent="0.25">
      <c r="A16" s="63">
        <v>8</v>
      </c>
      <c r="B16" s="18" t="s">
        <v>41</v>
      </c>
      <c r="C16" s="142">
        <f>ИНП2026!C16</f>
        <v>0</v>
      </c>
      <c r="D16" s="75"/>
      <c r="E16" s="56">
        <f t="shared" si="3"/>
        <v>0</v>
      </c>
      <c r="F16" s="67">
        <f t="shared" si="4"/>
        <v>0</v>
      </c>
      <c r="G16" s="67">
        <f t="shared" si="5"/>
        <v>0</v>
      </c>
      <c r="H16" s="67"/>
      <c r="I16" s="56">
        <f t="shared" si="6"/>
        <v>0</v>
      </c>
      <c r="J16" s="130"/>
      <c r="K16" s="130"/>
      <c r="L16" s="56">
        <f t="shared" si="7"/>
        <v>0</v>
      </c>
      <c r="M16" s="75">
        <v>2</v>
      </c>
      <c r="N16" s="56">
        <f t="shared" si="8"/>
        <v>0</v>
      </c>
      <c r="O16" s="75"/>
      <c r="P16" s="56">
        <f t="shared" si="9"/>
        <v>0</v>
      </c>
      <c r="Q16" s="75"/>
      <c r="R16" s="56">
        <f t="shared" si="10"/>
        <v>0</v>
      </c>
      <c r="S16" s="75">
        <v>0.1</v>
      </c>
      <c r="T16" s="56">
        <f t="shared" si="11"/>
        <v>0</v>
      </c>
      <c r="U16" s="75"/>
      <c r="V16" s="56">
        <f t="shared" si="12"/>
        <v>0</v>
      </c>
      <c r="W16" s="75">
        <v>0.1</v>
      </c>
      <c r="X16" s="56">
        <f t="shared" si="13"/>
        <v>0</v>
      </c>
      <c r="Y16" s="75">
        <v>0.1</v>
      </c>
      <c r="Z16" s="56">
        <f t="shared" si="14"/>
        <v>0</v>
      </c>
      <c r="AA16" s="75"/>
      <c r="AB16" s="56">
        <f t="shared" si="15"/>
        <v>0</v>
      </c>
      <c r="AC16" s="75">
        <v>0.1</v>
      </c>
      <c r="AD16" s="56">
        <f t="shared" si="0"/>
        <v>0</v>
      </c>
      <c r="AE16" s="56"/>
      <c r="AF16" s="56"/>
      <c r="AG16" s="67"/>
      <c r="AH16" s="75"/>
      <c r="AI16" s="56">
        <f t="shared" si="19"/>
        <v>0</v>
      </c>
      <c r="AJ16" s="67"/>
      <c r="AK16" s="75"/>
      <c r="AL16" s="56">
        <f t="shared" si="16"/>
        <v>0</v>
      </c>
      <c r="AM16" s="61"/>
      <c r="AN16" s="61"/>
      <c r="AO16" s="56">
        <f t="shared" si="17"/>
        <v>0</v>
      </c>
      <c r="AP16" s="58">
        <f t="shared" si="18"/>
        <v>0</v>
      </c>
      <c r="AQ16" s="143" t="e">
        <f t="shared" si="1"/>
        <v>#DIV/0!</v>
      </c>
      <c r="AR16" s="144" t="e">
        <f t="shared" si="2"/>
        <v>#DIV/0!</v>
      </c>
      <c r="AS16" s="131"/>
    </row>
    <row r="17" spans="1:45" s="132" customFormat="1" ht="15.75" x14ac:dyDescent="0.25">
      <c r="A17" s="63">
        <v>9</v>
      </c>
      <c r="B17" s="18" t="s">
        <v>42</v>
      </c>
      <c r="C17" s="142">
        <f>ИНП2026!C17</f>
        <v>0</v>
      </c>
      <c r="D17" s="75"/>
      <c r="E17" s="56">
        <f t="shared" si="3"/>
        <v>0</v>
      </c>
      <c r="F17" s="67">
        <f t="shared" si="4"/>
        <v>0</v>
      </c>
      <c r="G17" s="67">
        <f t="shared" si="5"/>
        <v>0</v>
      </c>
      <c r="H17" s="67"/>
      <c r="I17" s="56">
        <f t="shared" si="6"/>
        <v>0</v>
      </c>
      <c r="J17" s="130"/>
      <c r="K17" s="130"/>
      <c r="L17" s="56">
        <f t="shared" si="7"/>
        <v>0</v>
      </c>
      <c r="M17" s="75">
        <v>2</v>
      </c>
      <c r="N17" s="56">
        <f t="shared" si="8"/>
        <v>0</v>
      </c>
      <c r="O17" s="75"/>
      <c r="P17" s="56">
        <f t="shared" si="9"/>
        <v>0</v>
      </c>
      <c r="Q17" s="75"/>
      <c r="R17" s="56">
        <f t="shared" si="10"/>
        <v>0</v>
      </c>
      <c r="S17" s="75">
        <v>0.1</v>
      </c>
      <c r="T17" s="56">
        <f t="shared" si="11"/>
        <v>0</v>
      </c>
      <c r="U17" s="75"/>
      <c r="V17" s="56">
        <f t="shared" si="12"/>
        <v>0</v>
      </c>
      <c r="W17" s="75">
        <v>0.1</v>
      </c>
      <c r="X17" s="56">
        <f t="shared" si="13"/>
        <v>0</v>
      </c>
      <c r="Y17" s="75">
        <v>0.1</v>
      </c>
      <c r="Z17" s="56">
        <f t="shared" si="14"/>
        <v>0</v>
      </c>
      <c r="AA17" s="75"/>
      <c r="AB17" s="56">
        <f t="shared" si="15"/>
        <v>0</v>
      </c>
      <c r="AC17" s="75">
        <v>0.1</v>
      </c>
      <c r="AD17" s="56">
        <f t="shared" si="0"/>
        <v>0</v>
      </c>
      <c r="AE17" s="56"/>
      <c r="AF17" s="56"/>
      <c r="AG17" s="67"/>
      <c r="AH17" s="75"/>
      <c r="AI17" s="56">
        <f t="shared" si="19"/>
        <v>0</v>
      </c>
      <c r="AJ17" s="67"/>
      <c r="AK17" s="75"/>
      <c r="AL17" s="56">
        <f t="shared" si="16"/>
        <v>0</v>
      </c>
      <c r="AM17" s="61"/>
      <c r="AN17" s="61"/>
      <c r="AO17" s="56">
        <f t="shared" si="17"/>
        <v>0</v>
      </c>
      <c r="AP17" s="58">
        <f t="shared" si="18"/>
        <v>0</v>
      </c>
      <c r="AQ17" s="143" t="e">
        <f t="shared" si="1"/>
        <v>#DIV/0!</v>
      </c>
      <c r="AR17" s="144" t="e">
        <f t="shared" si="2"/>
        <v>#DIV/0!</v>
      </c>
      <c r="AS17" s="131"/>
    </row>
    <row r="18" spans="1:45" s="132" customFormat="1" ht="15.75" x14ac:dyDescent="0.25">
      <c r="A18" s="63">
        <v>10</v>
      </c>
      <c r="B18" s="18" t="s">
        <v>43</v>
      </c>
      <c r="C18" s="142">
        <f>ИНП2026!C18</f>
        <v>0</v>
      </c>
      <c r="D18" s="75"/>
      <c r="E18" s="56">
        <f t="shared" si="3"/>
        <v>0</v>
      </c>
      <c r="F18" s="67">
        <f t="shared" si="4"/>
        <v>0</v>
      </c>
      <c r="G18" s="67">
        <f t="shared" si="5"/>
        <v>0</v>
      </c>
      <c r="H18" s="67"/>
      <c r="I18" s="56">
        <f t="shared" si="6"/>
        <v>0</v>
      </c>
      <c r="J18" s="130"/>
      <c r="K18" s="130"/>
      <c r="L18" s="56">
        <f t="shared" si="7"/>
        <v>0</v>
      </c>
      <c r="M18" s="75">
        <v>2</v>
      </c>
      <c r="N18" s="56">
        <f t="shared" si="8"/>
        <v>0</v>
      </c>
      <c r="O18" s="75"/>
      <c r="P18" s="56">
        <f t="shared" si="9"/>
        <v>0</v>
      </c>
      <c r="Q18" s="75"/>
      <c r="R18" s="56">
        <f t="shared" si="10"/>
        <v>0</v>
      </c>
      <c r="S18" s="75">
        <v>0.1</v>
      </c>
      <c r="T18" s="56">
        <f t="shared" si="11"/>
        <v>0</v>
      </c>
      <c r="U18" s="75"/>
      <c r="V18" s="56">
        <f t="shared" si="12"/>
        <v>0</v>
      </c>
      <c r="W18" s="75">
        <v>0.1</v>
      </c>
      <c r="X18" s="56">
        <f t="shared" si="13"/>
        <v>0</v>
      </c>
      <c r="Y18" s="75">
        <v>0.1</v>
      </c>
      <c r="Z18" s="56">
        <f t="shared" si="14"/>
        <v>0</v>
      </c>
      <c r="AA18" s="75"/>
      <c r="AB18" s="56">
        <f t="shared" si="15"/>
        <v>0</v>
      </c>
      <c r="AC18" s="75">
        <v>0.1</v>
      </c>
      <c r="AD18" s="56">
        <f t="shared" si="0"/>
        <v>0</v>
      </c>
      <c r="AE18" s="56"/>
      <c r="AF18" s="56"/>
      <c r="AG18" s="67"/>
      <c r="AH18" s="75"/>
      <c r="AI18" s="56">
        <f t="shared" si="19"/>
        <v>0</v>
      </c>
      <c r="AJ18" s="67"/>
      <c r="AK18" s="75"/>
      <c r="AL18" s="56">
        <f t="shared" si="16"/>
        <v>0</v>
      </c>
      <c r="AM18" s="61"/>
      <c r="AN18" s="61"/>
      <c r="AO18" s="56">
        <f t="shared" si="17"/>
        <v>0</v>
      </c>
      <c r="AP18" s="58">
        <f t="shared" si="18"/>
        <v>0</v>
      </c>
      <c r="AQ18" s="143" t="e">
        <f t="shared" si="1"/>
        <v>#DIV/0!</v>
      </c>
      <c r="AR18" s="144" t="e">
        <f t="shared" si="2"/>
        <v>#DIV/0!</v>
      </c>
      <c r="AS18" s="131"/>
    </row>
    <row r="19" spans="1:45" s="132" customFormat="1" ht="15.75" x14ac:dyDescent="0.25">
      <c r="A19" s="63">
        <v>11</v>
      </c>
      <c r="B19" s="18" t="s">
        <v>44</v>
      </c>
      <c r="C19" s="142">
        <f>ИНП2026!C19</f>
        <v>0</v>
      </c>
      <c r="D19" s="75"/>
      <c r="E19" s="56">
        <f t="shared" si="3"/>
        <v>0</v>
      </c>
      <c r="F19" s="67">
        <f t="shared" si="4"/>
        <v>0</v>
      </c>
      <c r="G19" s="67">
        <f t="shared" si="5"/>
        <v>0</v>
      </c>
      <c r="H19" s="67"/>
      <c r="I19" s="56">
        <f t="shared" si="6"/>
        <v>0</v>
      </c>
      <c r="J19" s="130"/>
      <c r="K19" s="130"/>
      <c r="L19" s="56">
        <f t="shared" si="7"/>
        <v>0</v>
      </c>
      <c r="M19" s="75">
        <v>2</v>
      </c>
      <c r="N19" s="56">
        <f t="shared" si="8"/>
        <v>0</v>
      </c>
      <c r="O19" s="75"/>
      <c r="P19" s="56">
        <f t="shared" si="9"/>
        <v>0</v>
      </c>
      <c r="Q19" s="75"/>
      <c r="R19" s="56">
        <f t="shared" si="10"/>
        <v>0</v>
      </c>
      <c r="S19" s="75">
        <v>0.1</v>
      </c>
      <c r="T19" s="56">
        <f t="shared" si="11"/>
        <v>0</v>
      </c>
      <c r="U19" s="75"/>
      <c r="V19" s="56">
        <f t="shared" si="12"/>
        <v>0</v>
      </c>
      <c r="W19" s="75">
        <v>0.1</v>
      </c>
      <c r="X19" s="56">
        <f t="shared" si="13"/>
        <v>0</v>
      </c>
      <c r="Y19" s="75">
        <v>0.1</v>
      </c>
      <c r="Z19" s="56">
        <f t="shared" si="14"/>
        <v>0</v>
      </c>
      <c r="AA19" s="75"/>
      <c r="AB19" s="56">
        <f t="shared" si="15"/>
        <v>0</v>
      </c>
      <c r="AC19" s="75">
        <v>0.1</v>
      </c>
      <c r="AD19" s="56">
        <f t="shared" si="0"/>
        <v>0</v>
      </c>
      <c r="AE19" s="56"/>
      <c r="AF19" s="56"/>
      <c r="AG19" s="67"/>
      <c r="AH19" s="75"/>
      <c r="AI19" s="56">
        <f t="shared" si="19"/>
        <v>0</v>
      </c>
      <c r="AJ19" s="67"/>
      <c r="AK19" s="75"/>
      <c r="AL19" s="56">
        <f t="shared" si="16"/>
        <v>0</v>
      </c>
      <c r="AM19" s="61"/>
      <c r="AN19" s="61"/>
      <c r="AO19" s="56">
        <f t="shared" si="17"/>
        <v>0</v>
      </c>
      <c r="AP19" s="58">
        <f t="shared" si="18"/>
        <v>0</v>
      </c>
      <c r="AQ19" s="143" t="e">
        <f t="shared" si="1"/>
        <v>#DIV/0!</v>
      </c>
      <c r="AR19" s="144" t="e">
        <f t="shared" si="2"/>
        <v>#DIV/0!</v>
      </c>
      <c r="AS19" s="131"/>
    </row>
    <row r="20" spans="1:45" ht="15.75" x14ac:dyDescent="0.25">
      <c r="A20" s="174" t="s">
        <v>0</v>
      </c>
      <c r="B20" s="174"/>
      <c r="C20" s="145">
        <f>SUM(C9:C19)</f>
        <v>9808</v>
      </c>
      <c r="D20" s="136" t="s">
        <v>83</v>
      </c>
      <c r="E20" s="156">
        <f>SUM(E9:E19)</f>
        <v>4044.0479999999998</v>
      </c>
      <c r="F20" s="146">
        <f>SUM(F9:F19)</f>
        <v>490</v>
      </c>
      <c r="G20" s="146">
        <f>SUM(G9:G19)</f>
        <v>8820</v>
      </c>
      <c r="H20" s="136" t="s">
        <v>83</v>
      </c>
      <c r="I20" s="156">
        <f>SUM(I9:I19)</f>
        <v>0</v>
      </c>
      <c r="J20" s="146">
        <f>SUM(J9:J19)</f>
        <v>0</v>
      </c>
      <c r="K20" s="147" t="s">
        <v>7</v>
      </c>
      <c r="L20" s="156">
        <f>SUM(L9:L19)</f>
        <v>0</v>
      </c>
      <c r="M20" s="147" t="s">
        <v>7</v>
      </c>
      <c r="N20" s="156">
        <f t="shared" ref="N20:P20" si="20">SUM(N9:N19)</f>
        <v>657.13600000000008</v>
      </c>
      <c r="O20" s="147" t="s">
        <v>7</v>
      </c>
      <c r="P20" s="156">
        <f t="shared" si="20"/>
        <v>0</v>
      </c>
      <c r="Q20" s="147" t="s">
        <v>7</v>
      </c>
      <c r="R20" s="156">
        <f t="shared" ref="R20" si="21">SUM(R9:R19)</f>
        <v>0</v>
      </c>
      <c r="S20" s="147" t="s">
        <v>7</v>
      </c>
      <c r="T20" s="156">
        <f t="shared" ref="T20" si="22">SUM(T9:T19)</f>
        <v>34.327999999999996</v>
      </c>
      <c r="U20" s="147" t="s">
        <v>7</v>
      </c>
      <c r="V20" s="156">
        <f t="shared" ref="V20" si="23">SUM(V9:V19)</f>
        <v>0</v>
      </c>
      <c r="W20" s="147" t="s">
        <v>7</v>
      </c>
      <c r="X20" s="156">
        <f t="shared" ref="X20" si="24">SUM(X9:X19)</f>
        <v>105.92640000000002</v>
      </c>
      <c r="Y20" s="147" t="s">
        <v>7</v>
      </c>
      <c r="Z20" s="156">
        <f t="shared" ref="Z20" si="25">SUM(Z9:Z19)</f>
        <v>105.92640000000002</v>
      </c>
      <c r="AA20" s="147" t="s">
        <v>7</v>
      </c>
      <c r="AB20" s="156">
        <f t="shared" ref="AB20" si="26">SUM(AB9:AB19)</f>
        <v>1704.1399999999999</v>
      </c>
      <c r="AC20" s="147" t="s">
        <v>7</v>
      </c>
      <c r="AD20" s="156">
        <f t="shared" ref="AD20:AF20" si="27">SUM(AD9:AD19)</f>
        <v>29.914400000000001</v>
      </c>
      <c r="AE20" s="156">
        <f t="shared" si="27"/>
        <v>0</v>
      </c>
      <c r="AF20" s="156">
        <f t="shared" si="27"/>
        <v>60</v>
      </c>
      <c r="AG20" s="145">
        <f>SUM(AG9:AG19)</f>
        <v>0</v>
      </c>
      <c r="AH20" s="147" t="s">
        <v>7</v>
      </c>
      <c r="AI20" s="156">
        <f t="shared" ref="AI20" si="28">SUM(AI9:AI19)</f>
        <v>0</v>
      </c>
      <c r="AJ20" s="145">
        <f>SUM(AJ9:AJ19)</f>
        <v>0</v>
      </c>
      <c r="AK20" s="147" t="s">
        <v>7</v>
      </c>
      <c r="AL20" s="156">
        <f t="shared" ref="AL20" si="29">SUM(AL9:AL19)</f>
        <v>0</v>
      </c>
      <c r="AM20" s="147" t="s">
        <v>7</v>
      </c>
      <c r="AN20" s="136" t="s">
        <v>83</v>
      </c>
      <c r="AO20" s="156">
        <f>SUM(AO9:AO19)</f>
        <v>29.402999999999999</v>
      </c>
      <c r="AP20" s="156">
        <f>SUM(AP9:AP19)</f>
        <v>6770.8222000000005</v>
      </c>
      <c r="AQ20" s="148" t="e">
        <f>SUM(AQ9:AQ19)</f>
        <v>#DIV/0!</v>
      </c>
      <c r="AR20" s="153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85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85</v>
      </c>
      <c r="Y23" s="5"/>
      <c r="AM23" s="5" t="s">
        <v>84</v>
      </c>
    </row>
    <row r="24" spans="1:45" ht="15.75" x14ac:dyDescent="0.25">
      <c r="AD24" s="73"/>
      <c r="AE24" s="73"/>
      <c r="AF24" s="73"/>
      <c r="AI24" s="73"/>
      <c r="AL24" s="73"/>
      <c r="AM24" s="5" t="s">
        <v>84</v>
      </c>
    </row>
    <row r="25" spans="1:45" x14ac:dyDescent="0.2">
      <c r="B25" s="5" t="s">
        <v>84</v>
      </c>
    </row>
    <row r="27" spans="1:45" ht="12.75" hidden="1" customHeight="1" x14ac:dyDescent="0.2">
      <c r="A27" s="183" t="s">
        <v>1</v>
      </c>
      <c r="B27" s="183" t="s">
        <v>2</v>
      </c>
      <c r="C27" s="178" t="s">
        <v>86</v>
      </c>
      <c r="D27" s="165" t="s">
        <v>54</v>
      </c>
      <c r="E27" s="150"/>
      <c r="F27" s="150"/>
      <c r="G27" s="150"/>
      <c r="H27" s="150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65" t="s">
        <v>54</v>
      </c>
      <c r="U27" s="149"/>
      <c r="V27" s="178" t="s">
        <v>55</v>
      </c>
      <c r="W27" s="165" t="s">
        <v>56</v>
      </c>
      <c r="X27" s="178" t="s">
        <v>57</v>
      </c>
      <c r="Y27" s="165" t="s">
        <v>58</v>
      </c>
      <c r="Z27" s="178" t="s">
        <v>59</v>
      </c>
      <c r="AA27" s="187"/>
      <c r="AB27" s="187"/>
      <c r="AC27" s="196" t="s">
        <v>60</v>
      </c>
      <c r="AD27" s="165" t="s">
        <v>61</v>
      </c>
      <c r="AE27" s="165" t="s">
        <v>61</v>
      </c>
      <c r="AF27" s="165" t="s">
        <v>61</v>
      </c>
      <c r="AG27" s="165" t="s">
        <v>60</v>
      </c>
      <c r="AH27" s="149"/>
      <c r="AI27" s="165" t="s">
        <v>61</v>
      </c>
      <c r="AJ27" s="165" t="s">
        <v>60</v>
      </c>
      <c r="AK27" s="149"/>
      <c r="AL27" s="165" t="s">
        <v>61</v>
      </c>
      <c r="AM27" s="165" t="s">
        <v>87</v>
      </c>
      <c r="AN27" s="178" t="s">
        <v>88</v>
      </c>
      <c r="AO27" s="165" t="s">
        <v>62</v>
      </c>
    </row>
    <row r="28" spans="1:45" ht="12.75" hidden="1" customHeight="1" x14ac:dyDescent="0.2">
      <c r="A28" s="184"/>
      <c r="B28" s="186"/>
      <c r="C28" s="178"/>
      <c r="D28" s="165"/>
      <c r="E28" s="151"/>
      <c r="F28" s="151"/>
      <c r="G28" s="151"/>
      <c r="H28" s="151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65"/>
      <c r="U28" s="149"/>
      <c r="V28" s="178"/>
      <c r="W28" s="165"/>
      <c r="X28" s="178"/>
      <c r="Y28" s="165"/>
      <c r="Z28" s="178"/>
      <c r="AA28" s="188"/>
      <c r="AB28" s="188"/>
      <c r="AC28" s="197"/>
      <c r="AD28" s="165"/>
      <c r="AE28" s="165"/>
      <c r="AF28" s="165"/>
      <c r="AG28" s="165"/>
      <c r="AH28" s="149"/>
      <c r="AI28" s="165"/>
      <c r="AJ28" s="165"/>
      <c r="AK28" s="149"/>
      <c r="AL28" s="165"/>
      <c r="AM28" s="165"/>
      <c r="AN28" s="178"/>
      <c r="AO28" s="165"/>
    </row>
    <row r="29" spans="1:45" ht="34.5" hidden="1" customHeight="1" x14ac:dyDescent="0.2">
      <c r="A29" s="185"/>
      <c r="B29" s="185"/>
      <c r="C29" s="178"/>
      <c r="D29" s="165"/>
      <c r="E29" s="151"/>
      <c r="F29" s="151"/>
      <c r="G29" s="151"/>
      <c r="H29" s="151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65"/>
      <c r="U29" s="149"/>
      <c r="V29" s="178"/>
      <c r="W29" s="165"/>
      <c r="X29" s="178"/>
      <c r="Y29" s="165"/>
      <c r="Z29" s="178"/>
      <c r="AA29" s="189"/>
      <c r="AB29" s="189"/>
      <c r="AC29" s="198"/>
      <c r="AD29" s="165"/>
      <c r="AE29" s="165"/>
      <c r="AF29" s="165"/>
      <c r="AG29" s="165"/>
      <c r="AH29" s="149"/>
      <c r="AI29" s="165"/>
      <c r="AJ29" s="165"/>
      <c r="AK29" s="149"/>
      <c r="AL29" s="165"/>
      <c r="AM29" s="165"/>
      <c r="AN29" s="178"/>
      <c r="AO29" s="165"/>
    </row>
    <row r="30" spans="1:45" ht="14.25" hidden="1" customHeight="1" thickBot="1" x14ac:dyDescent="0.25">
      <c r="A30" s="190" t="s">
        <v>67</v>
      </c>
      <c r="B30" s="191"/>
      <c r="C30" s="45">
        <v>1</v>
      </c>
      <c r="D30" s="46">
        <v>2</v>
      </c>
      <c r="E30" s="133"/>
      <c r="F30" s="133"/>
      <c r="G30" s="133"/>
      <c r="H30" s="133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>
        <v>2</v>
      </c>
      <c r="U30" s="46"/>
      <c r="V30" s="45" t="s">
        <v>68</v>
      </c>
      <c r="W30" s="46">
        <v>4</v>
      </c>
      <c r="X30" s="45" t="s">
        <v>69</v>
      </c>
      <c r="Y30" s="46">
        <v>6</v>
      </c>
      <c r="Z30" s="45" t="s">
        <v>70</v>
      </c>
      <c r="AA30" s="45"/>
      <c r="AB30" s="45"/>
      <c r="AC30" s="46">
        <v>8</v>
      </c>
      <c r="AD30" s="45">
        <v>9</v>
      </c>
      <c r="AE30" s="45">
        <v>9</v>
      </c>
      <c r="AF30" s="45">
        <v>9</v>
      </c>
      <c r="AG30" s="46">
        <v>8</v>
      </c>
      <c r="AH30" s="46"/>
      <c r="AI30" s="45">
        <v>9</v>
      </c>
      <c r="AJ30" s="46">
        <v>8</v>
      </c>
      <c r="AK30" s="46"/>
      <c r="AL30" s="45">
        <v>9</v>
      </c>
      <c r="AM30" s="46">
        <v>11</v>
      </c>
      <c r="AN30" s="46" t="s">
        <v>71</v>
      </c>
      <c r="AO30" s="46">
        <v>13</v>
      </c>
    </row>
    <row r="31" spans="1:45" ht="17.25" hidden="1" customHeight="1" x14ac:dyDescent="0.2">
      <c r="A31" s="192"/>
      <c r="B31" s="193"/>
      <c r="C31" s="47" t="s">
        <v>72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9"/>
      <c r="W31" s="50"/>
      <c r="X31" s="51"/>
      <c r="Y31" s="50"/>
      <c r="Z31" s="52"/>
      <c r="AA31" s="52"/>
      <c r="AB31" s="52"/>
      <c r="AC31" s="51"/>
      <c r="AD31" s="53">
        <v>4.3E-3</v>
      </c>
      <c r="AE31" s="53">
        <v>4.3E-3</v>
      </c>
      <c r="AF31" s="53">
        <v>4.3E-3</v>
      </c>
      <c r="AG31" s="51"/>
      <c r="AH31" s="51"/>
      <c r="AI31" s="53">
        <v>4.3E-3</v>
      </c>
      <c r="AJ31" s="51"/>
      <c r="AK31" s="51"/>
      <c r="AL31" s="53">
        <v>4.3E-3</v>
      </c>
      <c r="AM31" s="50"/>
      <c r="AN31" s="51"/>
      <c r="AO31" s="50"/>
    </row>
    <row r="32" spans="1:45" ht="15.75" hidden="1" customHeight="1" x14ac:dyDescent="0.25">
      <c r="A32" s="54">
        <v>1</v>
      </c>
      <c r="B32" s="55" t="s">
        <v>73</v>
      </c>
      <c r="C32" s="68">
        <v>33351</v>
      </c>
      <c r="D32" s="74">
        <v>0.496</v>
      </c>
      <c r="E32" s="134"/>
      <c r="F32" s="134"/>
      <c r="G32" s="134"/>
      <c r="H32" s="13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>
        <v>0.496</v>
      </c>
      <c r="U32" s="74"/>
      <c r="V32" s="70">
        <f t="shared" ref="V32:V50" si="30">C32*D32</f>
        <v>16542.096000000001</v>
      </c>
      <c r="W32" s="75">
        <v>0.06</v>
      </c>
      <c r="X32" s="60">
        <f t="shared" ref="X32:X50" si="31">W32*C32</f>
        <v>2001.06</v>
      </c>
      <c r="Y32" s="57">
        <v>0.40899999999999997</v>
      </c>
      <c r="Z32" s="65">
        <f t="shared" ref="Z32:Z50" si="32">Y32*C32</f>
        <v>13640.558999999999</v>
      </c>
      <c r="AA32" s="59"/>
      <c r="AB32" s="60"/>
      <c r="AC32" s="61">
        <v>88.1</v>
      </c>
      <c r="AD32" s="62">
        <v>3.3E-3</v>
      </c>
      <c r="AE32" s="62">
        <v>3.3E-3</v>
      </c>
      <c r="AF32" s="62">
        <v>3.3E-3</v>
      </c>
      <c r="AG32" s="61">
        <v>88.1</v>
      </c>
      <c r="AH32" s="61"/>
      <c r="AI32" s="62">
        <v>3.3E-3</v>
      </c>
      <c r="AJ32" s="61">
        <v>88.1</v>
      </c>
      <c r="AK32" s="61"/>
      <c r="AL32" s="62">
        <v>3.3E-3</v>
      </c>
      <c r="AM32" s="62"/>
      <c r="AN32" s="76">
        <v>127</v>
      </c>
      <c r="AO32" s="77">
        <v>3.7000000000000002E-3</v>
      </c>
    </row>
    <row r="33" spans="1:41" ht="15.75" hidden="1" customHeight="1" x14ac:dyDescent="0.25">
      <c r="A33" s="63">
        <v>2</v>
      </c>
      <c r="B33" s="64" t="s">
        <v>74</v>
      </c>
      <c r="C33" s="68">
        <v>5340</v>
      </c>
      <c r="D33" s="74">
        <v>0.496</v>
      </c>
      <c r="E33" s="134"/>
      <c r="F33" s="134"/>
      <c r="G33" s="134"/>
      <c r="H33" s="13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>
        <v>0.496</v>
      </c>
      <c r="U33" s="74"/>
      <c r="V33" s="70">
        <f t="shared" si="30"/>
        <v>2648.64</v>
      </c>
      <c r="W33" s="75">
        <v>0.15</v>
      </c>
      <c r="X33" s="60">
        <f t="shared" si="31"/>
        <v>801</v>
      </c>
      <c r="Y33" s="57">
        <v>0.40899999999999997</v>
      </c>
      <c r="Z33" s="66">
        <f t="shared" si="32"/>
        <v>2184.06</v>
      </c>
      <c r="AA33" s="59"/>
      <c r="AB33" s="60"/>
      <c r="AC33" s="61">
        <v>15.2</v>
      </c>
      <c r="AD33" s="62">
        <v>3.3E-3</v>
      </c>
      <c r="AE33" s="62">
        <v>3.3E-3</v>
      </c>
      <c r="AF33" s="62">
        <v>3.3E-3</v>
      </c>
      <c r="AG33" s="61">
        <v>15.2</v>
      </c>
      <c r="AH33" s="61"/>
      <c r="AI33" s="62">
        <v>3.3E-3</v>
      </c>
      <c r="AJ33" s="61">
        <v>15.2</v>
      </c>
      <c r="AK33" s="61"/>
      <c r="AL33" s="62">
        <v>3.3E-3</v>
      </c>
      <c r="AM33" s="62"/>
      <c r="AN33" s="78">
        <v>127</v>
      </c>
      <c r="AO33" s="77">
        <v>3.7000000000000002E-3</v>
      </c>
    </row>
    <row r="34" spans="1:41" ht="15.75" hidden="1" customHeight="1" x14ac:dyDescent="0.25">
      <c r="A34" s="63">
        <v>3</v>
      </c>
      <c r="B34" s="64" t="s">
        <v>75</v>
      </c>
      <c r="C34" s="68">
        <v>5077</v>
      </c>
      <c r="D34" s="74">
        <v>0.496</v>
      </c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si="30"/>
        <v>2518.192</v>
      </c>
      <c r="W34" s="75">
        <v>0.15</v>
      </c>
      <c r="X34" s="60">
        <f t="shared" si="31"/>
        <v>761.55</v>
      </c>
      <c r="Y34" s="57">
        <v>0.40899999999999997</v>
      </c>
      <c r="Z34" s="66">
        <f t="shared" si="32"/>
        <v>2076.4929999999999</v>
      </c>
      <c r="AA34" s="59"/>
      <c r="AB34" s="60"/>
      <c r="AC34" s="61">
        <v>10.199999999999999</v>
      </c>
      <c r="AD34" s="62">
        <v>3.3E-3</v>
      </c>
      <c r="AE34" s="62">
        <v>3.3E-3</v>
      </c>
      <c r="AF34" s="62">
        <v>3.3E-3</v>
      </c>
      <c r="AG34" s="61">
        <v>10.199999999999999</v>
      </c>
      <c r="AH34" s="61"/>
      <c r="AI34" s="62">
        <v>3.3E-3</v>
      </c>
      <c r="AJ34" s="61">
        <v>10.199999999999999</v>
      </c>
      <c r="AK34" s="61"/>
      <c r="AL34" s="62">
        <v>3.3E-3</v>
      </c>
      <c r="AM34" s="62"/>
      <c r="AN34" s="78">
        <v>127</v>
      </c>
      <c r="AO34" s="77">
        <v>3.7000000000000002E-3</v>
      </c>
    </row>
    <row r="35" spans="1:41" ht="15.75" hidden="1" customHeight="1" x14ac:dyDescent="0.25">
      <c r="A35" s="63">
        <v>4</v>
      </c>
      <c r="B35" s="64" t="s">
        <v>76</v>
      </c>
      <c r="C35" s="68">
        <v>6359</v>
      </c>
      <c r="D35" s="74">
        <v>0.496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30"/>
        <v>3154.0639999999999</v>
      </c>
      <c r="W35" s="75">
        <v>0.15</v>
      </c>
      <c r="X35" s="60">
        <f t="shared" si="31"/>
        <v>953.84999999999991</v>
      </c>
      <c r="Y35" s="57">
        <v>0.40899999999999997</v>
      </c>
      <c r="Z35" s="66">
        <f t="shared" si="32"/>
        <v>2600.8309999999997</v>
      </c>
      <c r="AA35" s="59"/>
      <c r="AB35" s="60"/>
      <c r="AC35" s="61">
        <v>6.8</v>
      </c>
      <c r="AD35" s="62">
        <v>3.3E-3</v>
      </c>
      <c r="AE35" s="62">
        <v>3.3E-3</v>
      </c>
      <c r="AF35" s="62">
        <v>3.3E-3</v>
      </c>
      <c r="AG35" s="61">
        <v>6.8</v>
      </c>
      <c r="AH35" s="61"/>
      <c r="AI35" s="62">
        <v>3.3E-3</v>
      </c>
      <c r="AJ35" s="61">
        <v>6.8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5</v>
      </c>
      <c r="B36" s="64" t="s">
        <v>77</v>
      </c>
      <c r="C36" s="68">
        <v>4707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30"/>
        <v>2334.672</v>
      </c>
      <c r="W36" s="75">
        <v>0.2</v>
      </c>
      <c r="X36" s="60">
        <f t="shared" si="31"/>
        <v>941.40000000000009</v>
      </c>
      <c r="Y36" s="57">
        <v>0.40899999999999997</v>
      </c>
      <c r="Z36" s="66">
        <f t="shared" si="32"/>
        <v>1925.1629999999998</v>
      </c>
      <c r="AA36" s="59"/>
      <c r="AB36" s="60"/>
      <c r="AC36" s="61">
        <v>6.4</v>
      </c>
      <c r="AD36" s="62">
        <v>3.3E-3</v>
      </c>
      <c r="AE36" s="62">
        <v>3.3E-3</v>
      </c>
      <c r="AF36" s="62">
        <v>3.3E-3</v>
      </c>
      <c r="AG36" s="61">
        <v>6.4</v>
      </c>
      <c r="AH36" s="61"/>
      <c r="AI36" s="62">
        <v>3.3E-3</v>
      </c>
      <c r="AJ36" s="61">
        <v>6.4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6</v>
      </c>
      <c r="B37" s="64" t="s">
        <v>78</v>
      </c>
      <c r="C37" s="68">
        <v>1875</v>
      </c>
      <c r="D37" s="79">
        <v>0.59830000000000005</v>
      </c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>
        <v>0.59830000000000005</v>
      </c>
      <c r="U37" s="79"/>
      <c r="V37" s="70">
        <f t="shared" si="30"/>
        <v>1121.8125</v>
      </c>
      <c r="W37" s="75">
        <v>0.3</v>
      </c>
      <c r="X37" s="60">
        <f t="shared" si="31"/>
        <v>562.5</v>
      </c>
      <c r="Y37" s="57">
        <v>0.23</v>
      </c>
      <c r="Z37" s="66">
        <f t="shared" si="32"/>
        <v>431.25</v>
      </c>
      <c r="AA37" s="66"/>
      <c r="AB37" s="60"/>
      <c r="AC37" s="61">
        <v>8.6999999999999993</v>
      </c>
      <c r="AD37" s="62">
        <v>3.3E-3</v>
      </c>
      <c r="AE37" s="62">
        <v>3.3E-3</v>
      </c>
      <c r="AF37" s="62">
        <v>3.3E-3</v>
      </c>
      <c r="AG37" s="61">
        <v>8.6999999999999993</v>
      </c>
      <c r="AH37" s="61"/>
      <c r="AI37" s="62">
        <v>3.3E-3</v>
      </c>
      <c r="AJ37" s="61">
        <v>8.6999999999999993</v>
      </c>
      <c r="AK37" s="61"/>
      <c r="AL37" s="62">
        <v>3.3E-3</v>
      </c>
      <c r="AM37" s="62"/>
      <c r="AN37" s="78">
        <v>127</v>
      </c>
      <c r="AO37" s="77">
        <v>2.5999999999999999E-3</v>
      </c>
    </row>
    <row r="38" spans="1:41" ht="15.75" hidden="1" customHeight="1" x14ac:dyDescent="0.25">
      <c r="A38" s="63">
        <v>7</v>
      </c>
      <c r="B38" s="64" t="s">
        <v>79</v>
      </c>
      <c r="C38" s="68">
        <v>2513</v>
      </c>
      <c r="D38" s="79">
        <v>0.59830000000000005</v>
      </c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>
        <v>0.59830000000000005</v>
      </c>
      <c r="U38" s="79"/>
      <c r="V38" s="70">
        <f t="shared" si="30"/>
        <v>1503.5279</v>
      </c>
      <c r="W38" s="75">
        <v>0.3</v>
      </c>
      <c r="X38" s="60">
        <f t="shared" si="31"/>
        <v>753.9</v>
      </c>
      <c r="Y38" s="57">
        <v>0.23</v>
      </c>
      <c r="Z38" s="66">
        <f t="shared" si="32"/>
        <v>577.99</v>
      </c>
      <c r="AA38" s="66"/>
      <c r="AB38" s="60"/>
      <c r="AC38" s="61">
        <v>7</v>
      </c>
      <c r="AD38" s="62">
        <v>3.3E-3</v>
      </c>
      <c r="AE38" s="62">
        <v>3.3E-3</v>
      </c>
      <c r="AF38" s="62">
        <v>3.3E-3</v>
      </c>
      <c r="AG38" s="61">
        <v>7</v>
      </c>
      <c r="AH38" s="61"/>
      <c r="AI38" s="62">
        <v>3.3E-3</v>
      </c>
      <c r="AJ38" s="61">
        <v>7</v>
      </c>
      <c r="AK38" s="61"/>
      <c r="AL38" s="62">
        <v>3.3E-3</v>
      </c>
      <c r="AM38" s="62"/>
      <c r="AN38" s="78">
        <v>127</v>
      </c>
      <c r="AO38" s="77">
        <v>2.5999999999999999E-3</v>
      </c>
    </row>
    <row r="39" spans="1:41" ht="15.75" hidden="1" customHeight="1" x14ac:dyDescent="0.25">
      <c r="A39" s="63">
        <v>8</v>
      </c>
      <c r="B39" s="64" t="s">
        <v>80</v>
      </c>
      <c r="C39" s="68">
        <v>595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58">
        <f t="shared" si="30"/>
        <v>355.98850000000004</v>
      </c>
      <c r="W39" s="75">
        <v>0.5</v>
      </c>
      <c r="X39" s="60">
        <f t="shared" si="31"/>
        <v>297.5</v>
      </c>
      <c r="Y39" s="57">
        <v>0.23</v>
      </c>
      <c r="Z39" s="66">
        <f t="shared" si="32"/>
        <v>136.85</v>
      </c>
      <c r="AA39" s="66"/>
      <c r="AB39" s="60"/>
      <c r="AC39" s="61">
        <v>0.5</v>
      </c>
      <c r="AD39" s="62"/>
      <c r="AE39" s="62"/>
      <c r="AF39" s="62"/>
      <c r="AG39" s="61">
        <v>0.5</v>
      </c>
      <c r="AH39" s="61"/>
      <c r="AI39" s="62"/>
      <c r="AJ39" s="61">
        <v>0.5</v>
      </c>
      <c r="AK39" s="61"/>
      <c r="AL39" s="62"/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9</v>
      </c>
      <c r="B40" s="64" t="s">
        <v>81</v>
      </c>
      <c r="C40" s="68">
        <v>2240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58">
        <f t="shared" si="30"/>
        <v>1340.192</v>
      </c>
      <c r="W40" s="75">
        <v>0.3</v>
      </c>
      <c r="X40" s="60">
        <f t="shared" si="31"/>
        <v>672</v>
      </c>
      <c r="Y40" s="57">
        <v>0.23</v>
      </c>
      <c r="Z40" s="66">
        <f t="shared" si="32"/>
        <v>515.20000000000005</v>
      </c>
      <c r="AA40" s="66"/>
      <c r="AB40" s="60"/>
      <c r="AC40" s="61">
        <v>5.8</v>
      </c>
      <c r="AD40" s="62">
        <v>3.3E-3</v>
      </c>
      <c r="AE40" s="62">
        <v>3.3E-3</v>
      </c>
      <c r="AF40" s="62">
        <v>3.3E-3</v>
      </c>
      <c r="AG40" s="61">
        <v>5.8</v>
      </c>
      <c r="AH40" s="61"/>
      <c r="AI40" s="62">
        <v>3.3E-3</v>
      </c>
      <c r="AJ40" s="61">
        <v>5.8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10</v>
      </c>
      <c r="B41" s="64" t="s">
        <v>82</v>
      </c>
      <c r="C41" s="68">
        <v>386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70">
        <f t="shared" si="30"/>
        <v>230.94380000000001</v>
      </c>
      <c r="W41" s="75">
        <v>0.5</v>
      </c>
      <c r="X41" s="60">
        <f t="shared" si="31"/>
        <v>193</v>
      </c>
      <c r="Y41" s="57">
        <v>0.23</v>
      </c>
      <c r="Z41" s="66">
        <f t="shared" si="32"/>
        <v>88.78</v>
      </c>
      <c r="AA41" s="66"/>
      <c r="AB41" s="60"/>
      <c r="AC41" s="67"/>
      <c r="AD41" s="62"/>
      <c r="AE41" s="62"/>
      <c r="AF41" s="62"/>
      <c r="AG41" s="67"/>
      <c r="AH41" s="67"/>
      <c r="AI41" s="62"/>
      <c r="AJ41" s="67"/>
      <c r="AK41" s="67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11</v>
      </c>
      <c r="B42" s="64"/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30"/>
        <v>0</v>
      </c>
      <c r="W42" s="61"/>
      <c r="X42" s="60">
        <f t="shared" si="31"/>
        <v>0</v>
      </c>
      <c r="Y42" s="71"/>
      <c r="Z42" s="60">
        <f t="shared" si="32"/>
        <v>0</v>
      </c>
      <c r="AA42" s="60"/>
      <c r="AB42" s="60"/>
      <c r="AC42" s="67"/>
      <c r="AD42" s="62"/>
      <c r="AE42" s="62"/>
      <c r="AF42" s="62"/>
      <c r="AG42" s="67"/>
      <c r="AH42" s="67"/>
      <c r="AI42" s="62"/>
      <c r="AJ42" s="67"/>
      <c r="AK42" s="67"/>
      <c r="AL42" s="62"/>
      <c r="AM42" s="62"/>
      <c r="AN42" s="60"/>
      <c r="AO42" s="62"/>
    </row>
    <row r="43" spans="1:41" ht="15.75" hidden="1" customHeight="1" x14ac:dyDescent="0.25">
      <c r="A43" s="63">
        <v>12</v>
      </c>
      <c r="B43" s="64"/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30"/>
        <v>0</v>
      </c>
      <c r="W43" s="61"/>
      <c r="X43" s="60">
        <f t="shared" si="31"/>
        <v>0</v>
      </c>
      <c r="Y43" s="71"/>
      <c r="Z43" s="60">
        <f t="shared" si="32"/>
        <v>0</v>
      </c>
      <c r="AA43" s="60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60"/>
      <c r="AO43" s="62"/>
    </row>
    <row r="44" spans="1:41" ht="15.75" hidden="1" customHeight="1" x14ac:dyDescent="0.25">
      <c r="A44" s="63">
        <v>13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30"/>
        <v>0</v>
      </c>
      <c r="W44" s="61"/>
      <c r="X44" s="60">
        <f t="shared" si="31"/>
        <v>0</v>
      </c>
      <c r="Y44" s="71"/>
      <c r="Z44" s="60">
        <f t="shared" si="32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14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30"/>
        <v>0</v>
      </c>
      <c r="W45" s="61"/>
      <c r="X45" s="60">
        <f t="shared" si="31"/>
        <v>0</v>
      </c>
      <c r="Y45" s="71"/>
      <c r="Z45" s="60">
        <f t="shared" si="32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15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30"/>
        <v>0</v>
      </c>
      <c r="W46" s="61"/>
      <c r="X46" s="60">
        <f t="shared" si="31"/>
        <v>0</v>
      </c>
      <c r="Y46" s="71"/>
      <c r="Z46" s="60">
        <f t="shared" si="32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16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30"/>
        <v>0</v>
      </c>
      <c r="W47" s="61"/>
      <c r="X47" s="60">
        <f t="shared" si="31"/>
        <v>0</v>
      </c>
      <c r="Y47" s="71"/>
      <c r="Z47" s="60">
        <f t="shared" si="32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17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30"/>
        <v>0</v>
      </c>
      <c r="W48" s="61"/>
      <c r="X48" s="60">
        <f t="shared" si="31"/>
        <v>0</v>
      </c>
      <c r="Y48" s="71"/>
      <c r="Z48" s="60">
        <f t="shared" si="32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2" ht="15.75" hidden="1" customHeight="1" x14ac:dyDescent="0.25">
      <c r="A49" s="63">
        <v>18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30"/>
        <v>0</v>
      </c>
      <c r="W49" s="61"/>
      <c r="X49" s="60">
        <f t="shared" si="31"/>
        <v>0</v>
      </c>
      <c r="Y49" s="71"/>
      <c r="Z49" s="60">
        <f t="shared" si="32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2" ht="15.75" hidden="1" customHeight="1" x14ac:dyDescent="0.25">
      <c r="A50" s="63">
        <v>19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30"/>
        <v>0</v>
      </c>
      <c r="W50" s="61"/>
      <c r="X50" s="60">
        <f t="shared" si="31"/>
        <v>0</v>
      </c>
      <c r="Y50" s="71"/>
      <c r="Z50" s="60">
        <f t="shared" si="32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2" ht="16.5" hidden="1" customHeight="1" thickBot="1" x14ac:dyDescent="0.3">
      <c r="A51" s="194" t="s">
        <v>0</v>
      </c>
      <c r="B51" s="195"/>
      <c r="C51" s="72">
        <f>SUM(C32:C50)</f>
        <v>62443</v>
      </c>
      <c r="D51" s="72" t="s">
        <v>83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 t="s">
        <v>83</v>
      </c>
      <c r="U51" s="72"/>
      <c r="V51" s="72">
        <f>SUM(V32:V50)</f>
        <v>31750.128699999997</v>
      </c>
      <c r="W51" s="72" t="s">
        <v>83</v>
      </c>
      <c r="X51" s="72">
        <f>SUM(X32:X50)</f>
        <v>7937.7599999999984</v>
      </c>
      <c r="Y51" s="72" t="s">
        <v>83</v>
      </c>
      <c r="Z51" s="72">
        <f>SUM(Z32:Z50)</f>
        <v>24177.175999999996</v>
      </c>
      <c r="AA51" s="72"/>
      <c r="AB51" s="72"/>
      <c r="AC51" s="72">
        <f>SUM(AC32:AC50)</f>
        <v>148.70000000000002</v>
      </c>
      <c r="AD51" s="72" t="s">
        <v>83</v>
      </c>
      <c r="AE51" s="72" t="s">
        <v>83</v>
      </c>
      <c r="AF51" s="72" t="s">
        <v>83</v>
      </c>
      <c r="AG51" s="72">
        <f>SUM(AG32:AG50)</f>
        <v>148.70000000000002</v>
      </c>
      <c r="AH51" s="72"/>
      <c r="AI51" s="72" t="s">
        <v>83</v>
      </c>
      <c r="AJ51" s="72">
        <f>SUM(AJ32:AJ50)</f>
        <v>148.70000000000002</v>
      </c>
      <c r="AK51" s="72"/>
      <c r="AL51" s="72" t="s">
        <v>83</v>
      </c>
      <c r="AM51" s="72" t="s">
        <v>83</v>
      </c>
      <c r="AN51" s="72">
        <f>SUM(AN32:AN50)</f>
        <v>1270</v>
      </c>
      <c r="AO51" s="72" t="s">
        <v>83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84</v>
      </c>
    </row>
    <row r="55" spans="1:42" x14ac:dyDescent="0.2">
      <c r="V55" s="1" t="s">
        <v>84</v>
      </c>
      <c r="X55" s="1" t="s">
        <v>84</v>
      </c>
      <c r="AC55" s="1" t="s">
        <v>84</v>
      </c>
      <c r="AG55" s="1" t="s">
        <v>84</v>
      </c>
      <c r="AJ55" s="1" t="s">
        <v>84</v>
      </c>
      <c r="AM55" s="5"/>
    </row>
    <row r="56" spans="1:42" x14ac:dyDescent="0.2">
      <c r="D56" s="5" t="s">
        <v>84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84</v>
      </c>
      <c r="U56" s="5"/>
      <c r="V56" s="5" t="s">
        <v>84</v>
      </c>
      <c r="X56" s="5"/>
    </row>
    <row r="57" spans="1:42" x14ac:dyDescent="0.2">
      <c r="D57" s="5" t="s">
        <v>84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84</v>
      </c>
      <c r="U57" s="5"/>
      <c r="V57" s="5" t="s">
        <v>84</v>
      </c>
      <c r="X57" s="1" t="s">
        <v>84</v>
      </c>
      <c r="Y57" s="1" t="s">
        <v>84</v>
      </c>
      <c r="AC57" s="1" t="s">
        <v>84</v>
      </c>
      <c r="AG57" s="1" t="s">
        <v>84</v>
      </c>
      <c r="AJ57" s="1" t="s">
        <v>84</v>
      </c>
      <c r="AN57" s="1" t="s">
        <v>84</v>
      </c>
    </row>
    <row r="58" spans="1:42" x14ac:dyDescent="0.2">
      <c r="D58" s="5" t="s">
        <v>84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84</v>
      </c>
      <c r="U58" s="5"/>
    </row>
    <row r="59" spans="1:42" x14ac:dyDescent="0.2">
      <c r="AM59" s="1" t="s">
        <v>84</v>
      </c>
    </row>
    <row r="60" spans="1:42" x14ac:dyDescent="0.2">
      <c r="AD60" s="1" t="s">
        <v>84</v>
      </c>
      <c r="AE60" s="1" t="s">
        <v>84</v>
      </c>
      <c r="AF60" s="1" t="s">
        <v>84</v>
      </c>
      <c r="AI60" s="1" t="s">
        <v>84</v>
      </c>
      <c r="AL60" s="1" t="s">
        <v>84</v>
      </c>
    </row>
    <row r="61" spans="1:42" x14ac:dyDescent="0.2">
      <c r="AD61" s="1" t="s">
        <v>84</v>
      </c>
      <c r="AE61" s="1" t="s">
        <v>84</v>
      </c>
      <c r="AF61" s="1" t="s">
        <v>84</v>
      </c>
      <c r="AI61" s="1" t="s">
        <v>84</v>
      </c>
      <c r="AL61" s="1" t="s">
        <v>84</v>
      </c>
      <c r="AM61" s="5" t="s">
        <v>84</v>
      </c>
    </row>
    <row r="63" spans="1:42" x14ac:dyDescent="0.2">
      <c r="AM63" s="1" t="s">
        <v>84</v>
      </c>
      <c r="AP63" s="1" t="s">
        <v>84</v>
      </c>
    </row>
    <row r="67" spans="42:42" x14ac:dyDescent="0.2">
      <c r="AP67" s="1" t="s">
        <v>84</v>
      </c>
    </row>
  </sheetData>
  <mergeCells count="73">
    <mergeCell ref="AR4:AR6"/>
    <mergeCell ref="V27:V29"/>
    <mergeCell ref="W27:W29"/>
    <mergeCell ref="X27:X29"/>
    <mergeCell ref="Y27:Y29"/>
    <mergeCell ref="AC27:AC29"/>
    <mergeCell ref="AD27:AD29"/>
    <mergeCell ref="AE27:AE29"/>
    <mergeCell ref="AF27:AF29"/>
    <mergeCell ref="AG27:AG29"/>
    <mergeCell ref="AI27:AI29"/>
    <mergeCell ref="AJ27:AJ29"/>
    <mergeCell ref="AL27:AL29"/>
    <mergeCell ref="AM27:AM29"/>
    <mergeCell ref="AN27:AN29"/>
    <mergeCell ref="AO27:AO29"/>
    <mergeCell ref="AM4:AM6"/>
    <mergeCell ref="AN4:AN6"/>
    <mergeCell ref="AO4:AO6"/>
    <mergeCell ref="AP4:AP6"/>
    <mergeCell ref="AQ4:AQ6"/>
    <mergeCell ref="AH4:AH6"/>
    <mergeCell ref="AI4:AI6"/>
    <mergeCell ref="AJ4:AJ6"/>
    <mergeCell ref="AK4:AK6"/>
    <mergeCell ref="AL4:AL6"/>
    <mergeCell ref="AC4:AC6"/>
    <mergeCell ref="AD4:AD6"/>
    <mergeCell ref="AE4:AE6"/>
    <mergeCell ref="AF4:AF6"/>
    <mergeCell ref="AG4:AG6"/>
    <mergeCell ref="AB27:AB29"/>
    <mergeCell ref="A30:B30"/>
    <mergeCell ref="A31:B31"/>
    <mergeCell ref="A51:B51"/>
    <mergeCell ref="T27:T29"/>
    <mergeCell ref="Z27:Z29"/>
    <mergeCell ref="AA27:AA29"/>
    <mergeCell ref="C27:C29"/>
    <mergeCell ref="D27:D29"/>
    <mergeCell ref="A8:B8"/>
    <mergeCell ref="A7:B7"/>
    <mergeCell ref="A20:B20"/>
    <mergeCell ref="A27:A29"/>
    <mergeCell ref="B27:B29"/>
    <mergeCell ref="U4:U6"/>
    <mergeCell ref="V4:V6"/>
    <mergeCell ref="A4:A6"/>
    <mergeCell ref="B4:B6"/>
    <mergeCell ref="C4:C6"/>
    <mergeCell ref="D4:D6"/>
    <mergeCell ref="E4:E6"/>
    <mergeCell ref="N4:N6"/>
    <mergeCell ref="O4:O6"/>
    <mergeCell ref="L4:L6"/>
    <mergeCell ref="M4:M6"/>
    <mergeCell ref="J4:J6"/>
    <mergeCell ref="AB4:AB6"/>
    <mergeCell ref="P4:P6"/>
    <mergeCell ref="K4:K6"/>
    <mergeCell ref="Q4:Q6"/>
    <mergeCell ref="F4:F6"/>
    <mergeCell ref="G4:G6"/>
    <mergeCell ref="H4:H6"/>
    <mergeCell ref="I4:I6"/>
    <mergeCell ref="AA4:AA6"/>
    <mergeCell ref="X4:X6"/>
    <mergeCell ref="Y4:Y6"/>
    <mergeCell ref="Z4:Z6"/>
    <mergeCell ref="S4:S6"/>
    <mergeCell ref="R4:R6"/>
    <mergeCell ref="W4:W6"/>
    <mergeCell ref="T4:T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U27"/>
  <sheetViews>
    <sheetView zoomScale="115" zoomScaleNormal="115" zoomScaleSheetLayoutView="115" workbookViewId="0">
      <selection activeCell="I4" sqref="I4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5" width="18.6640625" style="1" customWidth="1"/>
    <col min="6" max="6" width="16.5" style="1" customWidth="1"/>
    <col min="7" max="10" width="15.1640625" style="1" customWidth="1"/>
    <col min="11" max="12" width="18.6640625" style="1" customWidth="1"/>
    <col min="13" max="13" width="19.83203125" style="1" customWidth="1"/>
    <col min="14" max="14" width="16.33203125" style="1" customWidth="1"/>
    <col min="15" max="15" width="13.6640625" style="1" customWidth="1"/>
    <col min="16" max="16" width="14" style="1" customWidth="1"/>
    <col min="17" max="17" width="23.33203125" style="1" customWidth="1"/>
    <col min="18" max="18" width="21.6640625" style="1" customWidth="1"/>
    <col min="19" max="19" width="22.5" style="1" customWidth="1"/>
    <col min="20" max="20" width="17.6640625" style="1" customWidth="1"/>
    <col min="21" max="21" width="19.6640625" style="1" customWidth="1"/>
    <col min="22" max="22" width="25.5" style="1" customWidth="1"/>
    <col min="23" max="16384" width="8.83203125" style="1"/>
  </cols>
  <sheetData>
    <row r="1" spans="1:21" s="83" customFormat="1" ht="18.75" x14ac:dyDescent="0.3">
      <c r="A1" s="80"/>
      <c r="B1" s="81"/>
      <c r="C1" s="82"/>
      <c r="O1" s="84"/>
      <c r="R1" s="85"/>
      <c r="S1" s="201"/>
      <c r="T1" s="201"/>
      <c r="U1" s="201"/>
    </row>
    <row r="2" spans="1:21" s="83" customFormat="1" ht="17.649999999999999" customHeight="1" x14ac:dyDescent="0.35">
      <c r="A2" s="163">
        <f ca="1">NOW()</f>
        <v>45233.596441319445</v>
      </c>
      <c r="B2" s="163"/>
      <c r="C2" s="112" t="s">
        <v>111</v>
      </c>
      <c r="D2" s="110"/>
      <c r="E2" s="110"/>
      <c r="F2" s="110"/>
      <c r="G2" s="110"/>
      <c r="H2" s="110"/>
      <c r="I2" s="110"/>
      <c r="J2" s="110"/>
      <c r="K2" s="110"/>
      <c r="L2" s="110"/>
      <c r="M2" s="90"/>
      <c r="O2" s="88"/>
      <c r="P2" s="92"/>
      <c r="Q2" s="91"/>
      <c r="R2" s="87"/>
      <c r="S2" s="87"/>
      <c r="T2" s="87"/>
      <c r="U2" s="87"/>
    </row>
    <row r="3" spans="1:21" s="83" customFormat="1" ht="17.649999999999999" customHeight="1" x14ac:dyDescent="0.35">
      <c r="A3" s="109"/>
      <c r="B3" s="109"/>
      <c r="C3" s="112" t="s">
        <v>170</v>
      </c>
      <c r="D3" s="110"/>
      <c r="E3" s="110"/>
      <c r="F3" s="110"/>
      <c r="G3" s="110"/>
      <c r="H3" s="110"/>
      <c r="I3" s="110"/>
      <c r="J3" s="110"/>
      <c r="K3" s="110"/>
      <c r="L3" s="110"/>
      <c r="M3" s="88"/>
      <c r="N3" s="88"/>
      <c r="O3" s="88"/>
      <c r="P3" s="92"/>
      <c r="Q3" s="91"/>
      <c r="R3" s="87"/>
      <c r="S3" s="87"/>
      <c r="T3" s="87"/>
      <c r="U3" s="87"/>
    </row>
    <row r="4" spans="1:21" s="83" customFormat="1" ht="17.649999999999999" customHeight="1" x14ac:dyDescent="0.35">
      <c r="A4" s="109"/>
      <c r="B4" s="109"/>
      <c r="C4" s="112" t="s">
        <v>112</v>
      </c>
      <c r="D4" s="110"/>
      <c r="E4" s="110"/>
      <c r="F4" s="110"/>
      <c r="G4" s="110"/>
      <c r="H4" s="110"/>
      <c r="I4" s="110"/>
      <c r="J4" s="110"/>
      <c r="K4" s="110"/>
      <c r="L4" s="110"/>
      <c r="M4" s="88"/>
      <c r="N4" s="88"/>
      <c r="O4" s="88"/>
      <c r="P4" s="92"/>
      <c r="Q4" s="91"/>
      <c r="R4" s="87"/>
      <c r="S4" s="87"/>
      <c r="T4" s="87"/>
      <c r="U4" s="87"/>
    </row>
    <row r="5" spans="1:21" s="83" customFormat="1" ht="17.649999999999999" customHeight="1" x14ac:dyDescent="0.35">
      <c r="A5" s="109"/>
      <c r="B5" s="109"/>
      <c r="C5" s="112" t="s">
        <v>185</v>
      </c>
      <c r="D5" s="110"/>
      <c r="E5" s="110"/>
      <c r="F5" s="110"/>
      <c r="G5" s="110"/>
      <c r="H5" s="110"/>
      <c r="I5" s="110"/>
      <c r="J5" s="110"/>
      <c r="K5" s="110"/>
      <c r="L5" s="110"/>
      <c r="M5" s="88"/>
      <c r="N5" s="88"/>
      <c r="O5" s="88"/>
      <c r="P5" s="92"/>
      <c r="Q5" s="91"/>
      <c r="R5" s="87"/>
      <c r="S5" s="87"/>
      <c r="T5" s="87"/>
      <c r="U5" s="87"/>
    </row>
    <row r="6" spans="1:21" s="83" customFormat="1" ht="17.649999999999999" customHeight="1" x14ac:dyDescent="0.35">
      <c r="A6" s="2"/>
      <c r="B6" s="2"/>
      <c r="C6" s="112"/>
      <c r="D6" s="110"/>
      <c r="E6" s="110"/>
      <c r="F6" s="110"/>
      <c r="G6" s="110"/>
      <c r="H6" s="110"/>
      <c r="I6" s="110"/>
      <c r="J6" s="110"/>
      <c r="K6" s="110"/>
      <c r="L6" s="110"/>
      <c r="M6" s="88"/>
      <c r="N6" s="88"/>
      <c r="O6" s="88"/>
      <c r="P6" s="92"/>
      <c r="Q6" s="91"/>
      <c r="R6" s="87"/>
      <c r="S6" s="87"/>
      <c r="T6" s="87"/>
      <c r="U6" s="87"/>
    </row>
    <row r="7" spans="1:21" s="83" customFormat="1" ht="15.75" customHeight="1" x14ac:dyDescent="0.25">
      <c r="A7" s="2" t="s">
        <v>9</v>
      </c>
      <c r="B7" s="2"/>
      <c r="C7" s="111"/>
      <c r="D7" s="111"/>
      <c r="E7" s="111"/>
      <c r="F7" s="111"/>
      <c r="G7" s="111"/>
      <c r="H7" s="111"/>
      <c r="I7" s="111"/>
      <c r="J7" s="111"/>
      <c r="K7" s="111"/>
      <c r="L7" s="110"/>
      <c r="M7" s="92"/>
      <c r="N7" s="87"/>
      <c r="O7" s="92"/>
      <c r="P7" s="92"/>
      <c r="Q7" s="92"/>
      <c r="R7" s="92"/>
      <c r="S7" s="92"/>
      <c r="T7" s="92"/>
      <c r="U7" s="87"/>
    </row>
    <row r="8" spans="1:21" s="83" customFormat="1" ht="13.15" customHeight="1" x14ac:dyDescent="0.2">
      <c r="A8" s="164" t="s">
        <v>1</v>
      </c>
      <c r="B8" s="164" t="s">
        <v>2</v>
      </c>
      <c r="C8" s="165" t="s">
        <v>97</v>
      </c>
      <c r="D8" s="164" t="s">
        <v>102</v>
      </c>
      <c r="E8" s="164" t="s">
        <v>113</v>
      </c>
      <c r="F8" s="162" t="s">
        <v>103</v>
      </c>
      <c r="G8" s="164" t="s">
        <v>179</v>
      </c>
      <c r="H8" s="164" t="s">
        <v>180</v>
      </c>
      <c r="I8" s="164" t="s">
        <v>181</v>
      </c>
      <c r="J8" s="164" t="s">
        <v>182</v>
      </c>
      <c r="K8" s="162" t="s">
        <v>98</v>
      </c>
      <c r="L8" s="162" t="s">
        <v>165</v>
      </c>
      <c r="M8" s="199" t="s">
        <v>166</v>
      </c>
    </row>
    <row r="9" spans="1:21" s="83" customFormat="1" ht="13.15" customHeight="1" x14ac:dyDescent="0.2">
      <c r="A9" s="164"/>
      <c r="B9" s="164"/>
      <c r="C9" s="165"/>
      <c r="D9" s="164"/>
      <c r="E9" s="164"/>
      <c r="F9" s="162"/>
      <c r="G9" s="164"/>
      <c r="H9" s="164"/>
      <c r="I9" s="164"/>
      <c r="J9" s="164"/>
      <c r="K9" s="162"/>
      <c r="L9" s="162"/>
      <c r="M9" s="200"/>
    </row>
    <row r="10" spans="1:21" s="83" customFormat="1" ht="100.5" customHeight="1" x14ac:dyDescent="0.2">
      <c r="A10" s="164"/>
      <c r="B10" s="164"/>
      <c r="C10" s="165"/>
      <c r="D10" s="164"/>
      <c r="E10" s="164"/>
      <c r="F10" s="162"/>
      <c r="G10" s="164"/>
      <c r="H10" s="164"/>
      <c r="I10" s="164"/>
      <c r="J10" s="164"/>
      <c r="K10" s="162"/>
      <c r="L10" s="162"/>
      <c r="M10" s="167"/>
    </row>
    <row r="11" spans="1:21" s="93" customFormat="1" ht="27" customHeight="1" x14ac:dyDescent="0.2">
      <c r="A11" s="168" t="s">
        <v>38</v>
      </c>
      <c r="B11" s="169"/>
      <c r="C11" s="21">
        <v>1</v>
      </c>
      <c r="D11" s="21">
        <v>2</v>
      </c>
      <c r="E11" s="21">
        <v>3</v>
      </c>
      <c r="F11" s="124" t="s">
        <v>114</v>
      </c>
      <c r="G11" s="21">
        <v>5</v>
      </c>
      <c r="H11" s="21">
        <v>6</v>
      </c>
      <c r="I11" s="21">
        <v>7</v>
      </c>
      <c r="J11" s="21">
        <v>8</v>
      </c>
      <c r="K11" s="124" t="s">
        <v>115</v>
      </c>
      <c r="L11" s="158" t="s">
        <v>167</v>
      </c>
      <c r="M11" s="158" t="s">
        <v>169</v>
      </c>
    </row>
    <row r="12" spans="1:21" s="83" customFormat="1" ht="16.5" customHeight="1" x14ac:dyDescent="0.2">
      <c r="A12" s="170"/>
      <c r="B12" s="171"/>
      <c r="C12" s="21"/>
      <c r="D12" s="126"/>
      <c r="E12" s="126"/>
      <c r="F12" s="127"/>
      <c r="G12" s="126"/>
      <c r="H12" s="126"/>
      <c r="I12" s="126"/>
      <c r="J12" s="126"/>
      <c r="K12" s="127"/>
      <c r="L12" s="127"/>
      <c r="M12" s="101">
        <f>M2</f>
        <v>0</v>
      </c>
    </row>
    <row r="13" spans="1:21" s="7" customFormat="1" ht="18" customHeight="1" x14ac:dyDescent="0.25">
      <c r="A13" s="104">
        <v>1</v>
      </c>
      <c r="B13" s="18" t="s">
        <v>172</v>
      </c>
      <c r="C13" s="121">
        <v>753.7</v>
      </c>
      <c r="D13" s="122">
        <v>39</v>
      </c>
      <c r="E13" s="122"/>
      <c r="F13" s="125">
        <f>SUM(C13:E13)</f>
        <v>792.7</v>
      </c>
      <c r="G13" s="122">
        <v>1100.5</v>
      </c>
      <c r="H13" s="122">
        <v>121.5</v>
      </c>
      <c r="I13" s="122">
        <v>6.3</v>
      </c>
      <c r="J13" s="122">
        <v>354.2</v>
      </c>
      <c r="K13" s="17">
        <f t="shared" ref="K13:K23" si="0">SUM(G13:J13)</f>
        <v>1582.5</v>
      </c>
      <c r="L13" s="17">
        <f>IF(F13&lt;K13,K13-F13,0)</f>
        <v>789.8</v>
      </c>
      <c r="M13" s="17">
        <f>ROUND(L13/$L$24*$M$12,0)</f>
        <v>0</v>
      </c>
    </row>
    <row r="14" spans="1:21" s="7" customFormat="1" ht="16.5" x14ac:dyDescent="0.25">
      <c r="A14" s="105">
        <v>2</v>
      </c>
      <c r="B14" s="18" t="s">
        <v>173</v>
      </c>
      <c r="C14" s="121">
        <v>432.8</v>
      </c>
      <c r="D14" s="122"/>
      <c r="E14" s="122"/>
      <c r="F14" s="125">
        <f t="shared" ref="F14:F23" si="1">SUM(C14:E14)</f>
        <v>432.8</v>
      </c>
      <c r="G14" s="122">
        <v>538.70000000000005</v>
      </c>
      <c r="H14" s="122">
        <v>56.7</v>
      </c>
      <c r="I14" s="122">
        <v>3</v>
      </c>
      <c r="J14" s="122">
        <v>165.4</v>
      </c>
      <c r="K14" s="17">
        <f t="shared" si="0"/>
        <v>763.80000000000007</v>
      </c>
      <c r="L14" s="17">
        <f t="shared" ref="L14:L23" si="2">IF(F14&lt;K14,K14-F14,0)</f>
        <v>331.00000000000006</v>
      </c>
      <c r="M14" s="17">
        <f t="shared" ref="M14:M23" si="3">ROUND(L14/$L$24*$M$12,0)</f>
        <v>0</v>
      </c>
    </row>
    <row r="15" spans="1:21" s="7" customFormat="1" ht="16.5" customHeight="1" x14ac:dyDescent="0.25">
      <c r="A15" s="105">
        <v>3</v>
      </c>
      <c r="B15" s="18" t="s">
        <v>174</v>
      </c>
      <c r="C15" s="121">
        <v>1253.3</v>
      </c>
      <c r="D15" s="122"/>
      <c r="E15" s="122"/>
      <c r="F15" s="125">
        <f t="shared" si="1"/>
        <v>1253.3</v>
      </c>
      <c r="G15" s="122"/>
      <c r="H15" s="122">
        <v>235.2</v>
      </c>
      <c r="I15" s="122">
        <v>12.3</v>
      </c>
      <c r="J15" s="122">
        <v>685.7</v>
      </c>
      <c r="K15" s="17">
        <f t="shared" si="0"/>
        <v>933.2</v>
      </c>
      <c r="L15" s="17">
        <f t="shared" si="2"/>
        <v>0</v>
      </c>
      <c r="M15" s="17">
        <f t="shared" si="3"/>
        <v>0</v>
      </c>
    </row>
    <row r="16" spans="1:21" s="7" customFormat="1" ht="16.5" customHeight="1" x14ac:dyDescent="0.25">
      <c r="A16" s="104">
        <v>4</v>
      </c>
      <c r="B16" s="18" t="s">
        <v>175</v>
      </c>
      <c r="C16" s="121">
        <v>331.5</v>
      </c>
      <c r="D16" s="122">
        <v>113</v>
      </c>
      <c r="E16" s="122"/>
      <c r="F16" s="125">
        <f t="shared" si="1"/>
        <v>444.5</v>
      </c>
      <c r="G16" s="122">
        <v>614.9</v>
      </c>
      <c r="H16" s="122">
        <v>67.900000000000006</v>
      </c>
      <c r="I16" s="122">
        <v>3.5</v>
      </c>
      <c r="J16" s="122">
        <v>197.8</v>
      </c>
      <c r="K16" s="17">
        <f t="shared" si="0"/>
        <v>884.09999999999991</v>
      </c>
      <c r="L16" s="17">
        <f t="shared" si="2"/>
        <v>439.59999999999991</v>
      </c>
      <c r="M16" s="17">
        <f t="shared" si="3"/>
        <v>0</v>
      </c>
    </row>
    <row r="17" spans="1:21" s="7" customFormat="1" ht="16.5" customHeight="1" x14ac:dyDescent="0.25">
      <c r="A17" s="105">
        <v>5</v>
      </c>
      <c r="B17" s="18" t="s">
        <v>176</v>
      </c>
      <c r="C17" s="121">
        <v>860.3</v>
      </c>
      <c r="D17" s="122">
        <v>74</v>
      </c>
      <c r="E17" s="122"/>
      <c r="F17" s="125">
        <f t="shared" si="1"/>
        <v>934.3</v>
      </c>
      <c r="G17" s="122">
        <v>696.2</v>
      </c>
      <c r="H17" s="122">
        <v>76.8</v>
      </c>
      <c r="I17" s="122">
        <v>4</v>
      </c>
      <c r="J17" s="122">
        <v>224.1</v>
      </c>
      <c r="K17" s="17">
        <f t="shared" si="0"/>
        <v>1001.1</v>
      </c>
      <c r="L17" s="17">
        <f t="shared" si="2"/>
        <v>66.800000000000068</v>
      </c>
      <c r="M17" s="17">
        <f t="shared" si="3"/>
        <v>0</v>
      </c>
    </row>
    <row r="18" spans="1:21" s="7" customFormat="1" ht="16.5" customHeight="1" x14ac:dyDescent="0.25">
      <c r="A18" s="105">
        <v>6</v>
      </c>
      <c r="B18" s="18" t="s">
        <v>177</v>
      </c>
      <c r="C18" s="121">
        <v>670.2</v>
      </c>
      <c r="D18" s="122">
        <v>76</v>
      </c>
      <c r="E18" s="122"/>
      <c r="F18" s="125">
        <f t="shared" si="1"/>
        <v>746.2</v>
      </c>
      <c r="G18" s="122">
        <v>946.9</v>
      </c>
      <c r="H18" s="122">
        <v>104.5</v>
      </c>
      <c r="I18" s="122">
        <v>5.5</v>
      </c>
      <c r="J18" s="122">
        <v>304.7</v>
      </c>
      <c r="K18" s="17">
        <f t="shared" si="0"/>
        <v>1361.6000000000001</v>
      </c>
      <c r="L18" s="17">
        <f t="shared" si="2"/>
        <v>615.40000000000009</v>
      </c>
      <c r="M18" s="17">
        <f t="shared" si="3"/>
        <v>0</v>
      </c>
    </row>
    <row r="19" spans="1:21" s="7" customFormat="1" ht="16.5" customHeight="1" x14ac:dyDescent="0.25">
      <c r="A19" s="104">
        <v>7</v>
      </c>
      <c r="B19" s="18" t="s">
        <v>178</v>
      </c>
      <c r="C19" s="121">
        <v>403.6</v>
      </c>
      <c r="D19" s="122">
        <v>125</v>
      </c>
      <c r="E19" s="122"/>
      <c r="F19" s="125">
        <f t="shared" si="1"/>
        <v>528.6</v>
      </c>
      <c r="G19" s="122">
        <v>647.1</v>
      </c>
      <c r="H19" s="122">
        <v>71.400000000000006</v>
      </c>
      <c r="I19" s="122">
        <v>3.7</v>
      </c>
      <c r="J19" s="122">
        <v>208.2</v>
      </c>
      <c r="K19" s="17">
        <f t="shared" si="0"/>
        <v>930.40000000000009</v>
      </c>
      <c r="L19" s="17">
        <f t="shared" si="2"/>
        <v>401.80000000000007</v>
      </c>
      <c r="M19" s="17">
        <f t="shared" si="3"/>
        <v>0</v>
      </c>
    </row>
    <row r="20" spans="1:21" s="7" customFormat="1" ht="16.5" customHeight="1" x14ac:dyDescent="0.25">
      <c r="A20" s="105">
        <v>8</v>
      </c>
      <c r="B20" s="18" t="s">
        <v>41</v>
      </c>
      <c r="C20" s="121"/>
      <c r="D20" s="122"/>
      <c r="E20" s="122"/>
      <c r="F20" s="125">
        <f t="shared" si="1"/>
        <v>0</v>
      </c>
      <c r="G20" s="122"/>
      <c r="H20" s="122"/>
      <c r="I20" s="122"/>
      <c r="J20" s="122"/>
      <c r="K20" s="17">
        <f t="shared" si="0"/>
        <v>0</v>
      </c>
      <c r="L20" s="17">
        <f t="shared" si="2"/>
        <v>0</v>
      </c>
      <c r="M20" s="17">
        <f t="shared" si="3"/>
        <v>0</v>
      </c>
    </row>
    <row r="21" spans="1:21" s="7" customFormat="1" ht="16.5" customHeight="1" x14ac:dyDescent="0.25">
      <c r="A21" s="105">
        <v>9</v>
      </c>
      <c r="B21" s="18" t="s">
        <v>42</v>
      </c>
      <c r="C21" s="121"/>
      <c r="D21" s="122"/>
      <c r="E21" s="122"/>
      <c r="F21" s="125">
        <f t="shared" si="1"/>
        <v>0</v>
      </c>
      <c r="G21" s="122"/>
      <c r="H21" s="122"/>
      <c r="I21" s="122"/>
      <c r="J21" s="122"/>
      <c r="K21" s="17">
        <f t="shared" si="0"/>
        <v>0</v>
      </c>
      <c r="L21" s="17">
        <f t="shared" si="2"/>
        <v>0</v>
      </c>
      <c r="M21" s="17">
        <f t="shared" si="3"/>
        <v>0</v>
      </c>
    </row>
    <row r="22" spans="1:21" s="7" customFormat="1" ht="16.5" customHeight="1" x14ac:dyDescent="0.25">
      <c r="A22" s="104">
        <v>10</v>
      </c>
      <c r="B22" s="18" t="s">
        <v>43</v>
      </c>
      <c r="C22" s="121"/>
      <c r="D22" s="122"/>
      <c r="E22" s="122"/>
      <c r="F22" s="125">
        <f t="shared" si="1"/>
        <v>0</v>
      </c>
      <c r="G22" s="122"/>
      <c r="H22" s="122"/>
      <c r="I22" s="122"/>
      <c r="J22" s="122"/>
      <c r="K22" s="17">
        <f t="shared" si="0"/>
        <v>0</v>
      </c>
      <c r="L22" s="17">
        <f t="shared" si="2"/>
        <v>0</v>
      </c>
      <c r="M22" s="17">
        <f t="shared" si="3"/>
        <v>0</v>
      </c>
    </row>
    <row r="23" spans="1:21" s="7" customFormat="1" ht="16.5" customHeight="1" x14ac:dyDescent="0.25">
      <c r="A23" s="105">
        <v>11</v>
      </c>
      <c r="B23" s="18" t="s">
        <v>44</v>
      </c>
      <c r="C23" s="121"/>
      <c r="D23" s="122"/>
      <c r="E23" s="122"/>
      <c r="F23" s="125">
        <f t="shared" si="1"/>
        <v>0</v>
      </c>
      <c r="G23" s="122"/>
      <c r="H23" s="122"/>
      <c r="I23" s="122"/>
      <c r="J23" s="122"/>
      <c r="K23" s="17">
        <f t="shared" si="0"/>
        <v>0</v>
      </c>
      <c r="L23" s="17">
        <f t="shared" si="2"/>
        <v>0</v>
      </c>
      <c r="M23" s="17">
        <f t="shared" si="3"/>
        <v>0</v>
      </c>
    </row>
    <row r="24" spans="1:21" s="7" customFormat="1" ht="16.5" x14ac:dyDescent="0.25">
      <c r="A24" s="166" t="s">
        <v>0</v>
      </c>
      <c r="B24" s="166"/>
      <c r="C24" s="123">
        <f>SUM(C13:C23)</f>
        <v>4705.4000000000005</v>
      </c>
      <c r="D24" s="123">
        <f t="shared" ref="D24:M24" si="4">SUM(D13:D23)</f>
        <v>427</v>
      </c>
      <c r="E24" s="123">
        <f t="shared" si="4"/>
        <v>0</v>
      </c>
      <c r="F24" s="123">
        <f t="shared" si="4"/>
        <v>5132.4000000000005</v>
      </c>
      <c r="G24" s="123">
        <f t="shared" si="4"/>
        <v>4544.3</v>
      </c>
      <c r="H24" s="123">
        <f t="shared" si="4"/>
        <v>733.99999999999989</v>
      </c>
      <c r="I24" s="123">
        <f t="shared" si="4"/>
        <v>38.300000000000004</v>
      </c>
      <c r="J24" s="123">
        <f t="shared" si="4"/>
        <v>2140.1</v>
      </c>
      <c r="K24" s="115">
        <f t="shared" si="4"/>
        <v>7456.7000000000007</v>
      </c>
      <c r="L24" s="115">
        <f t="shared" si="4"/>
        <v>2644.4</v>
      </c>
      <c r="M24" s="115">
        <f t="shared" si="4"/>
        <v>0</v>
      </c>
    </row>
    <row r="25" spans="1:2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12"/>
      <c r="O25" s="7"/>
      <c r="P25" s="7"/>
      <c r="Q25" s="7"/>
      <c r="R25" s="7"/>
      <c r="S25" s="12"/>
      <c r="T25" s="12"/>
      <c r="U25" s="7"/>
    </row>
    <row r="26" spans="1:2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1"/>
      <c r="Q26" s="7"/>
      <c r="R26" s="7"/>
      <c r="S26" s="7"/>
      <c r="T26" s="7"/>
      <c r="U26" s="7"/>
    </row>
    <row r="27" spans="1:21" ht="12.75" customHeight="1" x14ac:dyDescent="0.2"/>
  </sheetData>
  <mergeCells count="18">
    <mergeCell ref="M8:M10"/>
    <mergeCell ref="S1:U1"/>
    <mergeCell ref="A2:B2"/>
    <mergeCell ref="A8:A10"/>
    <mergeCell ref="B8:B10"/>
    <mergeCell ref="C8:C10"/>
    <mergeCell ref="D8:D10"/>
    <mergeCell ref="K8:K10"/>
    <mergeCell ref="I8:I10"/>
    <mergeCell ref="J8:J10"/>
    <mergeCell ref="H8:H10"/>
    <mergeCell ref="E8:E10"/>
    <mergeCell ref="L8:L10"/>
    <mergeCell ref="A11:B11"/>
    <mergeCell ref="A12:B12"/>
    <mergeCell ref="A24:B24"/>
    <mergeCell ref="F8:F10"/>
    <mergeCell ref="G8:G10"/>
  </mergeCells>
  <pageMargins left="0.5" right="0.15748031496062992" top="1.1200000000000001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Район ФФПП 2026</vt:lpstr>
      <vt:lpstr>ИНП2026</vt:lpstr>
      <vt:lpstr>ИБР2026</vt:lpstr>
      <vt:lpstr>Район сбалансир 2026</vt:lpstr>
      <vt:lpstr>ИБР2026!Заголовки_для_печати</vt:lpstr>
      <vt:lpstr>ИНП2026!Заголовки_для_печати</vt:lpstr>
      <vt:lpstr>'Район сбалансир 2026'!Заголовки_для_печати</vt:lpstr>
      <vt:lpstr>'Район ФФПП 2026'!Заголовки_для_печати</vt:lpstr>
      <vt:lpstr>ИБР2026!Область_печати</vt:lpstr>
      <vt:lpstr>ИНП2026!Область_печати</vt:lpstr>
      <vt:lpstr>'Район сбалансир 2026'!Область_печати</vt:lpstr>
      <vt:lpstr>'Район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2023-11-03T10:00:08Z</cp:lastPrinted>
  <dcterms:created xsi:type="dcterms:W3CDTF">1996-11-09T08:12:45Z</dcterms:created>
  <dcterms:modified xsi:type="dcterms:W3CDTF">2023-11-03T11:18:54Z</dcterms:modified>
</cp:coreProperties>
</file>